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01"/>
  <workbookPr filterPrivacy="1" defaultThemeVersion="124226"/>
  <xr:revisionPtr revIDLastSave="0" documentId="13_ncr:1_{1705C63E-B5A7-45CE-9B97-E4F2A92573C5}" xr6:coauthVersionLast="43" xr6:coauthVersionMax="43" xr10:uidLastSave="{00000000-0000-0000-0000-000000000000}"/>
  <bookViews>
    <workbookView xWindow="-120" yWindow="-120" windowWidth="29040" windowHeight="15840" xr2:uid="{AF409E33-454F-441C-B96C-D578E1F5C785}"/>
  </bookViews>
  <sheets>
    <sheet name="Documentation" sheetId="4" r:id="rId1"/>
    <sheet name="Input" sheetId="1" r:id="rId2"/>
    <sheet name="Computations" sheetId="2" r:id="rId3"/>
    <sheet name="Output" sheetId="3" r:id="rId4"/>
  </sheets>
  <definedNames>
    <definedName name="all.observed">OFFSET(Output!$C$6,0,0,COUNT(Output!$C$6:$C$30),1)</definedName>
    <definedName name="all.years">OFFSET(Output!$B$6,0,0,COUNT(Output!$B$6:$B$30),1)</definedName>
    <definedName name="area">Input!$C$6</definedName>
    <definedName name="base.year">Input!$C$11</definedName>
    <definedName name="crv.computations">Computations!#REF!</definedName>
    <definedName name="first.year">Input!$C$9</definedName>
    <definedName name="geometric">OFFSET(Output!$F$6,(base.year-first.year)/interval.obs,0,COUNT(Output!$F$6:$F$30),1)</definedName>
    <definedName name="geometric.curve">IF(Computations!$M$7,geometric,0)</definedName>
    <definedName name="geometric.estimates">Computations!$B$174</definedName>
    <definedName name="geometric.paramters">Computations!$B$122</definedName>
    <definedName name="Gompertz">OFFSET(Output!$H$6,(base.year-first.year)/interval.obs,0,COUNT(Output!$H$6:$H$30),1)</definedName>
    <definedName name="Gompertz.curve">IF(Computations!$M$9,Gompertz,0)</definedName>
    <definedName name="Gompertz.limit">IF(Computations!$M$10,IF(upper.limit,Gompertz.upper,Gompertz.lower),0)</definedName>
    <definedName name="Gompertz.lower">OFFSET(Computations!$G$472,(base.year-first.year)/interval.obs,0,COUNT(Computations!$G$472:$G$496),1)</definedName>
    <definedName name="Gompertz.lower.curve">IF(Computations!$M$10,Gompertz.lower,0)</definedName>
    <definedName name="gompertz.lower.limit">Computations!$B$413</definedName>
    <definedName name="Gompertz.upper">OFFSET(Computations!$G$373,(base.year-first.year)/interval.obs,0,COUNT(Computations!$G$373:$G$397),1)</definedName>
    <definedName name="gompertz.upper.limit">Computations!$B$309</definedName>
    <definedName name="Gompetz.upper.curve">IF(Computations!$M$10,Gompertz.upper,0)</definedName>
    <definedName name="index">Computations!$M$17</definedName>
    <definedName name="input.data">Input!$B$2</definedName>
    <definedName name="interval.obs">Input!$C$14</definedName>
    <definedName name="interval.proj">Input!#REF!</definedName>
    <definedName name="Label">Computations!$B$2</definedName>
    <definedName name="last.year">Input!$C$10</definedName>
    <definedName name="launch.year">Input!$C$12</definedName>
    <definedName name="limit">Input!$C$15</definedName>
    <definedName name="linear">OFFSET(Output!$E$6,(base.year-first.year)/interval.obs,0,COUNT(Output!$E$6:$E$30),1)</definedName>
    <definedName name="linear.curve">IF(Computations!$M$6,linear,0)</definedName>
    <definedName name="linear.estimates">Computations!$B$80</definedName>
    <definedName name="linear.parameters">Computations!$B$37</definedName>
    <definedName name="mape.maple.computations">Computations!$B$504</definedName>
    <definedName name="mod.expon.upper.limit">Computations!#REF!</definedName>
    <definedName name="N">Computations!$D$32</definedName>
    <definedName name="N.odd">Computations!$D$33</definedName>
    <definedName name="parabobolic.paramters">Computations!$B$217</definedName>
    <definedName name="parabolic">OFFSET(Output!$G$6,(base.year-first.year)/interval.obs,0,COUNT(Output!$G$6:$G$30),1)</definedName>
    <definedName name="parabolic.curve">IF(Computations!$M$8,parabolic,0)</definedName>
    <definedName name="parabolic.estimates">Computations!$B$268</definedName>
    <definedName name="project.observed">OFFSET(Output!$C$6,(base.year-first.year)/interval.obs,0,((launch.year - base.year)/interval.obs)+1,1)</definedName>
    <definedName name="project.years">OFFSET(Output!$D$6,(base.year-first.year)/interval.obs,0,COUNT(Output!$D$6:$D$30),1)</definedName>
    <definedName name="Projected">OFFSET(Output!$D$6,(base.year-first.year)/interval.obs,0,COUNT(Output!$D$6:$D$30),1)</definedName>
    <definedName name="Sum.X2">Computations!$E$67</definedName>
    <definedName name="target.year">Input!$C$13</definedName>
    <definedName name="units">Input!$C$8</definedName>
    <definedName name="upper.limit">Computations!$D$34</definedName>
    <definedName name="variable">Input!$C$7</definedName>
    <definedName name="Y.fit">Computations!$G$6:$G$30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Q515" i="2" l="1"/>
  <c r="BL515" i="2"/>
  <c r="BG515" i="2"/>
  <c r="BB515" i="2"/>
  <c r="AW515" i="2"/>
  <c r="AR515" i="2"/>
  <c r="AM515" i="2"/>
  <c r="AH515" i="2"/>
  <c r="AC515" i="2"/>
  <c r="X515" i="2"/>
  <c r="C304" i="2" l="1"/>
  <c r="B304" i="2"/>
  <c r="C212" i="2"/>
  <c r="B212" i="2"/>
  <c r="C117" i="2"/>
  <c r="B117" i="2"/>
  <c r="M17" i="2" l="1"/>
  <c r="I3" i="3" l="1"/>
  <c r="L15" i="2"/>
  <c r="C4" i="3"/>
  <c r="E3" i="3"/>
  <c r="G7" i="1"/>
  <c r="L13" i="2" l="1"/>
  <c r="L12" i="2"/>
  <c r="C17" i="3" l="1"/>
  <c r="C4" i="1" l="1"/>
  <c r="C30" i="3" l="1"/>
  <c r="C29" i="3"/>
  <c r="C28" i="3"/>
  <c r="C27" i="3"/>
  <c r="C26" i="3"/>
  <c r="C25" i="3"/>
  <c r="C24" i="3"/>
  <c r="C23" i="3"/>
  <c r="C22" i="3"/>
  <c r="C21" i="3"/>
  <c r="C20" i="3"/>
  <c r="C19" i="3"/>
  <c r="C18" i="3"/>
  <c r="C16" i="3"/>
  <c r="C15" i="3"/>
  <c r="C14" i="3"/>
  <c r="C13" i="3"/>
  <c r="C12" i="3"/>
  <c r="C11" i="3"/>
  <c r="C10" i="3"/>
  <c r="C9" i="3"/>
  <c r="C8" i="3"/>
  <c r="C7" i="3"/>
  <c r="C6" i="3"/>
  <c r="D6" i="2" l="1"/>
  <c r="B6" i="3" s="1"/>
  <c r="C6" i="2"/>
  <c r="E6" i="2" l="1"/>
  <c r="B518" i="2" s="1"/>
  <c r="C7" i="2"/>
  <c r="D7" i="2"/>
  <c r="D34" i="2"/>
  <c r="C359" i="2" l="1"/>
  <c r="C355" i="2"/>
  <c r="C347" i="2"/>
  <c r="C363" i="2"/>
  <c r="C351" i="2"/>
  <c r="C463" i="2"/>
  <c r="C459" i="2"/>
  <c r="C455" i="2"/>
  <c r="C451" i="2"/>
  <c r="C500" i="2"/>
  <c r="C501" i="2" s="1"/>
  <c r="C504" i="2"/>
  <c r="C508" i="2"/>
  <c r="F6" i="2"/>
  <c r="C472" i="2" s="1"/>
  <c r="C405" i="2"/>
  <c r="C401" i="2"/>
  <c r="C402" i="2" s="1"/>
  <c r="C409" i="2"/>
  <c r="C312" i="2"/>
  <c r="C415" i="2"/>
  <c r="G6" i="2"/>
  <c r="C419" i="2" s="1"/>
  <c r="C8" i="2"/>
  <c r="E7" i="2"/>
  <c r="B519" i="2" s="1"/>
  <c r="B7" i="3"/>
  <c r="D8" i="2"/>
  <c r="B316" i="2"/>
  <c r="B419" i="2"/>
  <c r="C373" i="2" l="1"/>
  <c r="C518" i="2"/>
  <c r="G472" i="2"/>
  <c r="B472" i="2"/>
  <c r="D6" i="3"/>
  <c r="B317" i="2"/>
  <c r="E317" i="2" s="1"/>
  <c r="C316" i="2"/>
  <c r="D316" i="2" s="1"/>
  <c r="B420" i="2"/>
  <c r="E420" i="2" s="1"/>
  <c r="F7" i="2"/>
  <c r="E316" i="2"/>
  <c r="B8" i="3"/>
  <c r="D9" i="2"/>
  <c r="E419" i="2"/>
  <c r="D419" i="2"/>
  <c r="G7" i="2"/>
  <c r="C519" i="2" s="1"/>
  <c r="C9" i="2"/>
  <c r="E8" i="2"/>
  <c r="B421" i="2" s="1"/>
  <c r="E421" i="2" s="1"/>
  <c r="B373" i="2" l="1"/>
  <c r="F316" i="2"/>
  <c r="G316" i="2" s="1"/>
  <c r="C473" i="2"/>
  <c r="C374" i="2"/>
  <c r="F8" i="2"/>
  <c r="F419" i="2"/>
  <c r="G419" i="2" s="1"/>
  <c r="C317" i="2"/>
  <c r="D317" i="2" s="1"/>
  <c r="F317" i="2" s="1"/>
  <c r="G317" i="2" s="1"/>
  <c r="C420" i="2"/>
  <c r="D420" i="2" s="1"/>
  <c r="F420" i="2" s="1"/>
  <c r="G420" i="2" s="1"/>
  <c r="D7" i="3"/>
  <c r="B9" i="3"/>
  <c r="D10" i="2"/>
  <c r="G8" i="2"/>
  <c r="B318" i="2"/>
  <c r="E9" i="2"/>
  <c r="B422" i="2" s="1"/>
  <c r="C10" i="2"/>
  <c r="B374" i="2" l="1"/>
  <c r="G473" i="2"/>
  <c r="B473" i="2"/>
  <c r="C474" i="2"/>
  <c r="C375" i="2"/>
  <c r="D8" i="3"/>
  <c r="E422" i="2"/>
  <c r="F9" i="2"/>
  <c r="C318" i="2"/>
  <c r="D318" i="2" s="1"/>
  <c r="F318" i="2" s="1"/>
  <c r="G318" i="2" s="1"/>
  <c r="C421" i="2"/>
  <c r="D421" i="2" s="1"/>
  <c r="F421" i="2" s="1"/>
  <c r="G421" i="2" s="1"/>
  <c r="E318" i="2"/>
  <c r="B10" i="3"/>
  <c r="D11" i="2"/>
  <c r="C11" i="2"/>
  <c r="E10" i="2"/>
  <c r="B423" i="2" s="1"/>
  <c r="G9" i="2"/>
  <c r="B319" i="2"/>
  <c r="B375" i="2" l="1"/>
  <c r="G474" i="2"/>
  <c r="B474" i="2"/>
  <c r="C475" i="2"/>
  <c r="C376" i="2"/>
  <c r="E423" i="2"/>
  <c r="D9" i="3"/>
  <c r="F10" i="2"/>
  <c r="C319" i="2"/>
  <c r="D319" i="2" s="1"/>
  <c r="C422" i="2"/>
  <c r="D422" i="2" s="1"/>
  <c r="F422" i="2" s="1"/>
  <c r="G422" i="2" s="1"/>
  <c r="E319" i="2"/>
  <c r="G10" i="2"/>
  <c r="B320" i="2"/>
  <c r="C12" i="2"/>
  <c r="E11" i="2"/>
  <c r="B424" i="2" s="1"/>
  <c r="B11" i="3"/>
  <c r="D12" i="2"/>
  <c r="I32" i="2"/>
  <c r="C3" i="3"/>
  <c r="E9" i="1"/>
  <c r="B376" i="2" l="1"/>
  <c r="F319" i="2"/>
  <c r="G319" i="2" s="1"/>
  <c r="G475" i="2"/>
  <c r="B475" i="2"/>
  <c r="C476" i="2"/>
  <c r="C377" i="2"/>
  <c r="D10" i="3"/>
  <c r="F11" i="2"/>
  <c r="E424" i="2"/>
  <c r="C320" i="2"/>
  <c r="D320" i="2" s="1"/>
  <c r="C423" i="2"/>
  <c r="D423" i="2" s="1"/>
  <c r="F423" i="2" s="1"/>
  <c r="G423" i="2" s="1"/>
  <c r="F9" i="1"/>
  <c r="E10" i="1"/>
  <c r="G11" i="2"/>
  <c r="B321" i="2"/>
  <c r="B12" i="3"/>
  <c r="D13" i="2"/>
  <c r="C13" i="2"/>
  <c r="E12" i="2"/>
  <c r="B425" i="2" s="1"/>
  <c r="E320" i="2"/>
  <c r="B377" i="2" l="1"/>
  <c r="F320" i="2"/>
  <c r="G320" i="2" s="1"/>
  <c r="G476" i="2"/>
  <c r="B476" i="2"/>
  <c r="C477" i="2"/>
  <c r="C378" i="2"/>
  <c r="D11" i="3"/>
  <c r="F12" i="2"/>
  <c r="C321" i="2"/>
  <c r="D321" i="2" s="1"/>
  <c r="C424" i="2"/>
  <c r="D424" i="2" s="1"/>
  <c r="F424" i="2" s="1"/>
  <c r="G424" i="2" s="1"/>
  <c r="E425" i="2"/>
  <c r="E321" i="2"/>
  <c r="G12" i="2"/>
  <c r="B322" i="2"/>
  <c r="E13" i="2"/>
  <c r="B426" i="2" s="1"/>
  <c r="C14" i="2"/>
  <c r="B13" i="3"/>
  <c r="D14" i="2"/>
  <c r="E11" i="1"/>
  <c r="F10" i="1"/>
  <c r="B43" i="2"/>
  <c r="B378" i="2" l="1"/>
  <c r="F321" i="2"/>
  <c r="G321" i="2" s="1"/>
  <c r="G477" i="2"/>
  <c r="B477" i="2"/>
  <c r="C478" i="2"/>
  <c r="C379" i="2"/>
  <c r="D12" i="3"/>
  <c r="E426" i="2"/>
  <c r="C322" i="2"/>
  <c r="D322" i="2" s="1"/>
  <c r="C425" i="2"/>
  <c r="D425" i="2" s="1"/>
  <c r="F425" i="2" s="1"/>
  <c r="G425" i="2" s="1"/>
  <c r="F13" i="2"/>
  <c r="E14" i="2"/>
  <c r="B427" i="2" s="1"/>
  <c r="C15" i="2"/>
  <c r="G13" i="2"/>
  <c r="B323" i="2"/>
  <c r="E12" i="1"/>
  <c r="F11" i="1"/>
  <c r="E322" i="2"/>
  <c r="B14" i="3"/>
  <c r="D15" i="2"/>
  <c r="B222" i="2"/>
  <c r="B127" i="2"/>
  <c r="G373" i="2"/>
  <c r="C43" i="2"/>
  <c r="B223" i="2"/>
  <c r="B128" i="2"/>
  <c r="C273" i="2"/>
  <c r="C179" i="2"/>
  <c r="B179" i="2" s="1"/>
  <c r="B44" i="2"/>
  <c r="B379" i="2" l="1"/>
  <c r="B273" i="2"/>
  <c r="G478" i="2"/>
  <c r="B478" i="2"/>
  <c r="F322" i="2"/>
  <c r="G322" i="2" s="1"/>
  <c r="C479" i="2"/>
  <c r="C380" i="2"/>
  <c r="D13" i="3"/>
  <c r="E427" i="2"/>
  <c r="C323" i="2"/>
  <c r="D323" i="2" s="1"/>
  <c r="C426" i="2"/>
  <c r="D426" i="2" s="1"/>
  <c r="F426" i="2" s="1"/>
  <c r="G426" i="2" s="1"/>
  <c r="B15" i="3"/>
  <c r="D16" i="2"/>
  <c r="E13" i="1"/>
  <c r="F12" i="1"/>
  <c r="E323" i="2"/>
  <c r="C16" i="2"/>
  <c r="E15" i="2"/>
  <c r="B428" i="2" s="1"/>
  <c r="B324" i="2"/>
  <c r="G14" i="2"/>
  <c r="F14" i="2"/>
  <c r="C127" i="2"/>
  <c r="D127" i="2" s="1"/>
  <c r="C222" i="2"/>
  <c r="G374" i="2"/>
  <c r="C223" i="2"/>
  <c r="C128" i="2"/>
  <c r="D128" i="2" s="1"/>
  <c r="C274" i="2"/>
  <c r="C180" i="2"/>
  <c r="B180" i="2" s="1"/>
  <c r="C44" i="2"/>
  <c r="B224" i="2"/>
  <c r="B129" i="2"/>
  <c r="B45" i="2"/>
  <c r="B2" i="2"/>
  <c r="B380" i="2" l="1"/>
  <c r="B274" i="2"/>
  <c r="G479" i="2"/>
  <c r="B479" i="2"/>
  <c r="F323" i="2"/>
  <c r="G323" i="2" s="1"/>
  <c r="C480" i="2"/>
  <c r="C381" i="2"/>
  <c r="B468" i="2"/>
  <c r="B368" i="2"/>
  <c r="B310" i="2"/>
  <c r="C324" i="2"/>
  <c r="D324" i="2" s="1"/>
  <c r="C427" i="2"/>
  <c r="D427" i="2" s="1"/>
  <c r="F427" i="2" s="1"/>
  <c r="G427" i="2" s="1"/>
  <c r="E428" i="2"/>
  <c r="E324" i="2"/>
  <c r="F15" i="2"/>
  <c r="D14" i="3"/>
  <c r="G15" i="2"/>
  <c r="B325" i="2"/>
  <c r="E16" i="2"/>
  <c r="C17" i="2"/>
  <c r="F13" i="1"/>
  <c r="E14" i="1"/>
  <c r="B16" i="3"/>
  <c r="D17" i="2"/>
  <c r="B17" i="3" s="1"/>
  <c r="B1" i="3"/>
  <c r="B130" i="2"/>
  <c r="B225" i="2"/>
  <c r="B46" i="2"/>
  <c r="C224" i="2"/>
  <c r="C129" i="2"/>
  <c r="D129" i="2" s="1"/>
  <c r="B381" i="2" l="1"/>
  <c r="B429" i="2"/>
  <c r="E429" i="2" s="1"/>
  <c r="G480" i="2"/>
  <c r="B480" i="2"/>
  <c r="F324" i="2"/>
  <c r="G324" i="2" s="1"/>
  <c r="C481" i="2"/>
  <c r="C382" i="2"/>
  <c r="C325" i="2"/>
  <c r="D325" i="2" s="1"/>
  <c r="C428" i="2"/>
  <c r="D428" i="2" s="1"/>
  <c r="F428" i="2" s="1"/>
  <c r="G428" i="2" s="1"/>
  <c r="F16" i="2"/>
  <c r="D15" i="3"/>
  <c r="E15" i="1"/>
  <c r="F14" i="1"/>
  <c r="C18" i="2"/>
  <c r="E17" i="2"/>
  <c r="G16" i="2"/>
  <c r="B326" i="2"/>
  <c r="E325" i="2"/>
  <c r="D18" i="2"/>
  <c r="C45" i="2"/>
  <c r="G375" i="2"/>
  <c r="C181" i="2"/>
  <c r="B181" i="2" s="1"/>
  <c r="C275" i="2"/>
  <c r="G376" i="2"/>
  <c r="C46" i="2"/>
  <c r="C225" i="2"/>
  <c r="C130" i="2"/>
  <c r="D130" i="2" s="1"/>
  <c r="B226" i="2"/>
  <c r="B131" i="2"/>
  <c r="C182" i="2"/>
  <c r="C276" i="2"/>
  <c r="B382" i="2" l="1"/>
  <c r="B275" i="2"/>
  <c r="B430" i="2"/>
  <c r="E430" i="2" s="1"/>
  <c r="G481" i="2"/>
  <c r="B481" i="2"/>
  <c r="B276" i="2"/>
  <c r="B182" i="2"/>
  <c r="C482" i="2"/>
  <c r="C383" i="2"/>
  <c r="C326" i="2"/>
  <c r="D326" i="2" s="1"/>
  <c r="C429" i="2"/>
  <c r="D429" i="2" s="1"/>
  <c r="F429" i="2" s="1"/>
  <c r="G429" i="2" s="1"/>
  <c r="F325" i="2"/>
  <c r="G325" i="2" s="1"/>
  <c r="E18" i="2"/>
  <c r="C19" i="2"/>
  <c r="G17" i="2"/>
  <c r="B327" i="2"/>
  <c r="E326" i="2"/>
  <c r="F15" i="1"/>
  <c r="E16" i="1"/>
  <c r="F17" i="2"/>
  <c r="D16" i="3"/>
  <c r="B18" i="3"/>
  <c r="D19" i="2"/>
  <c r="C183" i="2"/>
  <c r="C131" i="2"/>
  <c r="D131" i="2" s="1"/>
  <c r="C226" i="2"/>
  <c r="B520" i="2"/>
  <c r="B38" i="2"/>
  <c r="B269" i="2"/>
  <c r="B218" i="2"/>
  <c r="B175" i="2"/>
  <c r="B123" i="2"/>
  <c r="B81" i="2"/>
  <c r="B383" i="2" l="1"/>
  <c r="B431" i="2"/>
  <c r="D431" i="2" s="1"/>
  <c r="B183" i="2"/>
  <c r="G482" i="2"/>
  <c r="B482" i="2"/>
  <c r="C483" i="2"/>
  <c r="C384" i="2"/>
  <c r="C327" i="2"/>
  <c r="D327" i="2" s="1"/>
  <c r="C430" i="2"/>
  <c r="D430" i="2" s="1"/>
  <c r="F430" i="2" s="1"/>
  <c r="G430" i="2" s="1"/>
  <c r="F326" i="2"/>
  <c r="G326" i="2" s="1"/>
  <c r="C520" i="2"/>
  <c r="F18" i="2"/>
  <c r="D17" i="3"/>
  <c r="E17" i="1"/>
  <c r="F16" i="1"/>
  <c r="E327" i="2"/>
  <c r="C20" i="2"/>
  <c r="E19" i="2"/>
  <c r="B19" i="3"/>
  <c r="D20" i="2"/>
  <c r="H18" i="2"/>
  <c r="G18" i="2"/>
  <c r="B328" i="2"/>
  <c r="G377" i="2"/>
  <c r="C277" i="2"/>
  <c r="B48" i="2"/>
  <c r="B47" i="2"/>
  <c r="B132" i="2"/>
  <c r="B227" i="2"/>
  <c r="B133" i="2"/>
  <c r="B228" i="2"/>
  <c r="B521" i="2"/>
  <c r="B384" i="2" l="1"/>
  <c r="B277" i="2"/>
  <c r="E431" i="2"/>
  <c r="G431" i="2"/>
  <c r="I431" i="2"/>
  <c r="F431" i="2"/>
  <c r="B432" i="2"/>
  <c r="D432" i="2" s="1"/>
  <c r="G483" i="2"/>
  <c r="B483" i="2"/>
  <c r="C484" i="2"/>
  <c r="C385" i="2"/>
  <c r="C328" i="2"/>
  <c r="C431" i="2"/>
  <c r="H328" i="2"/>
  <c r="H431" i="2"/>
  <c r="F327" i="2"/>
  <c r="G327" i="2" s="1"/>
  <c r="F17" i="1"/>
  <c r="E18" i="1"/>
  <c r="B20" i="3"/>
  <c r="D21" i="2"/>
  <c r="F19" i="2"/>
  <c r="D18" i="3"/>
  <c r="I328" i="2"/>
  <c r="D328" i="2"/>
  <c r="F328" i="2"/>
  <c r="G328" i="2"/>
  <c r="E328" i="2"/>
  <c r="G19" i="2"/>
  <c r="B329" i="2"/>
  <c r="H19" i="2"/>
  <c r="C521" i="2"/>
  <c r="E20" i="2"/>
  <c r="B532" i="2" s="1"/>
  <c r="C21" i="2"/>
  <c r="B49" i="2"/>
  <c r="G378" i="2"/>
  <c r="C278" i="2"/>
  <c r="C184" i="2"/>
  <c r="B184" i="2" s="1"/>
  <c r="B229" i="2"/>
  <c r="B134" i="2"/>
  <c r="B522" i="2"/>
  <c r="C90" i="2"/>
  <c r="C89" i="2"/>
  <c r="C88" i="2"/>
  <c r="C87" i="2"/>
  <c r="C86" i="2"/>
  <c r="B42" i="2"/>
  <c r="B385" i="2" l="1"/>
  <c r="B278" i="2"/>
  <c r="G432" i="2"/>
  <c r="E432" i="2"/>
  <c r="F432" i="2"/>
  <c r="BS532" i="2"/>
  <c r="J532" i="2"/>
  <c r="O532" i="2" s="1"/>
  <c r="K532" i="2"/>
  <c r="AV532" i="2"/>
  <c r="BH532" i="2"/>
  <c r="BM532" i="2" s="1"/>
  <c r="AT532" i="2"/>
  <c r="AO532" i="2"/>
  <c r="U532" i="2"/>
  <c r="BK532" i="2"/>
  <c r="BU532" i="2"/>
  <c r="N532" i="2"/>
  <c r="V532" i="2"/>
  <c r="AR532" i="2" s="1"/>
  <c r="W532" i="2"/>
  <c r="T532" i="2"/>
  <c r="BP532" i="2"/>
  <c r="AJ532" i="2"/>
  <c r="R532" i="2"/>
  <c r="S532" i="2"/>
  <c r="BD532" i="2"/>
  <c r="M532" i="2"/>
  <c r="BJ532" i="2"/>
  <c r="BE532" i="2"/>
  <c r="AS532" i="2"/>
  <c r="BA532" i="2"/>
  <c r="AG532" i="2"/>
  <c r="AB532" i="2"/>
  <c r="BF532" i="2"/>
  <c r="AN532" i="2"/>
  <c r="BN532" i="2"/>
  <c r="AF532" i="2"/>
  <c r="BB532" i="2" s="1"/>
  <c r="Y532" i="2"/>
  <c r="Z532" i="2"/>
  <c r="AA532" i="2"/>
  <c r="AW532" i="2" s="1"/>
  <c r="BT532" i="2"/>
  <c r="AK532" i="2"/>
  <c r="BG532" i="2" s="1"/>
  <c r="BR532" i="2"/>
  <c r="AY532" i="2"/>
  <c r="D532" i="2"/>
  <c r="AD532" i="2"/>
  <c r="AI532" i="2" s="1"/>
  <c r="AL532" i="2"/>
  <c r="E532" i="2"/>
  <c r="AP532" i="2"/>
  <c r="BL532" i="2" s="1"/>
  <c r="AQ532" i="2"/>
  <c r="Q532" i="2"/>
  <c r="AM532" i="2" s="1"/>
  <c r="F532" i="2"/>
  <c r="H532" i="2"/>
  <c r="L532" i="2"/>
  <c r="AH532" i="2" s="1"/>
  <c r="BI532" i="2"/>
  <c r="AX532" i="2"/>
  <c r="BC532" i="2" s="1"/>
  <c r="X532" i="2"/>
  <c r="G532" i="2"/>
  <c r="AC532" i="2" s="1"/>
  <c r="BO532" i="2"/>
  <c r="AZ532" i="2"/>
  <c r="P532" i="2"/>
  <c r="AE532" i="2"/>
  <c r="AU532" i="2"/>
  <c r="BQ532" i="2" s="1"/>
  <c r="I532" i="2"/>
  <c r="I432" i="2"/>
  <c r="B433" i="2"/>
  <c r="E433" i="2" s="1"/>
  <c r="G484" i="2"/>
  <c r="B484" i="2"/>
  <c r="B86" i="2"/>
  <c r="B87" i="2" s="1"/>
  <c r="B88" i="2" s="1"/>
  <c r="B89" i="2" s="1"/>
  <c r="B90" i="2" s="1"/>
  <c r="C485" i="2"/>
  <c r="C386" i="2"/>
  <c r="H329" i="2"/>
  <c r="H432" i="2"/>
  <c r="C329" i="2"/>
  <c r="C432" i="2"/>
  <c r="I329" i="2"/>
  <c r="F329" i="2"/>
  <c r="G329" i="2"/>
  <c r="D329" i="2"/>
  <c r="E329" i="2"/>
  <c r="F20" i="2"/>
  <c r="C387" i="2" s="1"/>
  <c r="D19" i="3"/>
  <c r="B21" i="3"/>
  <c r="D22" i="2"/>
  <c r="C22" i="2"/>
  <c r="E21" i="2"/>
  <c r="E19" i="1"/>
  <c r="F18" i="1"/>
  <c r="G20" i="2"/>
  <c r="C532" i="2" s="1"/>
  <c r="B330" i="2"/>
  <c r="H20" i="2"/>
  <c r="C522" i="2"/>
  <c r="B50" i="2"/>
  <c r="C47" i="2"/>
  <c r="G379" i="2"/>
  <c r="C279" i="2"/>
  <c r="C185" i="2"/>
  <c r="B185" i="2" s="1"/>
  <c r="C227" i="2"/>
  <c r="C132" i="2"/>
  <c r="D132" i="2" s="1"/>
  <c r="B230" i="2"/>
  <c r="B135" i="2"/>
  <c r="C92" i="2"/>
  <c r="B523" i="2"/>
  <c r="B386" i="2" l="1"/>
  <c r="B279" i="2"/>
  <c r="I433" i="2"/>
  <c r="D433" i="2"/>
  <c r="E485" i="2"/>
  <c r="F485" i="2"/>
  <c r="F433" i="2"/>
  <c r="G433" i="2"/>
  <c r="B434" i="2"/>
  <c r="G434" i="2" s="1"/>
  <c r="G485" i="2"/>
  <c r="B485" i="2"/>
  <c r="B387" i="2"/>
  <c r="H330" i="2"/>
  <c r="H433" i="2"/>
  <c r="C330" i="2"/>
  <c r="C433" i="2"/>
  <c r="D20" i="3"/>
  <c r="C486" i="2"/>
  <c r="I330" i="2"/>
  <c r="F330" i="2"/>
  <c r="G330" i="2"/>
  <c r="D330" i="2"/>
  <c r="E330" i="2"/>
  <c r="F21" i="2"/>
  <c r="E20" i="1"/>
  <c r="F19" i="1"/>
  <c r="G21" i="2"/>
  <c r="B331" i="2"/>
  <c r="H21" i="2"/>
  <c r="E22" i="2"/>
  <c r="B435" i="2" s="1"/>
  <c r="C23" i="2"/>
  <c r="B22" i="3"/>
  <c r="D23" i="2"/>
  <c r="C523" i="2"/>
  <c r="C48" i="2"/>
  <c r="G380" i="2"/>
  <c r="C280" i="2"/>
  <c r="C186" i="2"/>
  <c r="B186" i="2" s="1"/>
  <c r="C228" i="2"/>
  <c r="C133" i="2"/>
  <c r="D133" i="2" s="1"/>
  <c r="B524" i="2"/>
  <c r="C93" i="2"/>
  <c r="C42" i="2"/>
  <c r="B280" i="2" l="1"/>
  <c r="D434" i="2"/>
  <c r="F434" i="2"/>
  <c r="F486" i="2"/>
  <c r="E486" i="2"/>
  <c r="I434" i="2"/>
  <c r="E434" i="2"/>
  <c r="G486" i="2"/>
  <c r="B486" i="2"/>
  <c r="C487" i="2"/>
  <c r="C388" i="2"/>
  <c r="D435" i="2"/>
  <c r="E435" i="2"/>
  <c r="F435" i="2"/>
  <c r="I435" i="2"/>
  <c r="G435" i="2"/>
  <c r="H331" i="2"/>
  <c r="H434" i="2"/>
  <c r="C331" i="2"/>
  <c r="C434" i="2"/>
  <c r="B23" i="3"/>
  <c r="D24" i="2"/>
  <c r="F20" i="1"/>
  <c r="E21" i="1"/>
  <c r="E23" i="2"/>
  <c r="B436" i="2" s="1"/>
  <c r="C24" i="2"/>
  <c r="F22" i="2"/>
  <c r="D21" i="3"/>
  <c r="I21" i="3" s="1"/>
  <c r="B332" i="2"/>
  <c r="G22" i="2"/>
  <c r="H22" i="2"/>
  <c r="G331" i="2"/>
  <c r="F331" i="2"/>
  <c r="I331" i="2"/>
  <c r="D331" i="2"/>
  <c r="E331" i="2"/>
  <c r="C524" i="2"/>
  <c r="C49" i="2"/>
  <c r="B51" i="2"/>
  <c r="B52" i="2"/>
  <c r="B527" i="2"/>
  <c r="B136" i="2"/>
  <c r="G381" i="2"/>
  <c r="B231" i="2"/>
  <c r="C187" i="2"/>
  <c r="B187" i="2" s="1"/>
  <c r="C281" i="2"/>
  <c r="C229" i="2"/>
  <c r="C134" i="2"/>
  <c r="D134" i="2" s="1"/>
  <c r="B137" i="2"/>
  <c r="B232" i="2"/>
  <c r="B528" i="2"/>
  <c r="C94" i="2"/>
  <c r="B525" i="2"/>
  <c r="B388" i="2" l="1"/>
  <c r="E388" i="2"/>
  <c r="B281" i="2"/>
  <c r="F487" i="2"/>
  <c r="E487" i="2"/>
  <c r="G487" i="2"/>
  <c r="B487" i="2"/>
  <c r="C488" i="2"/>
  <c r="C389" i="2"/>
  <c r="E436" i="2"/>
  <c r="F436" i="2"/>
  <c r="D436" i="2"/>
  <c r="I436" i="2"/>
  <c r="G436" i="2"/>
  <c r="H332" i="2"/>
  <c r="H435" i="2"/>
  <c r="C332" i="2"/>
  <c r="C435" i="2"/>
  <c r="F23" i="2"/>
  <c r="D22" i="3"/>
  <c r="I22" i="3" s="1"/>
  <c r="C25" i="2"/>
  <c r="E24" i="2"/>
  <c r="B437" i="2" s="1"/>
  <c r="H23" i="2"/>
  <c r="G23" i="2"/>
  <c r="B333" i="2"/>
  <c r="F21" i="1"/>
  <c r="E22" i="1"/>
  <c r="B24" i="3"/>
  <c r="D25" i="2"/>
  <c r="D332" i="2"/>
  <c r="I332" i="2"/>
  <c r="E332" i="2"/>
  <c r="F332" i="2"/>
  <c r="G332" i="2"/>
  <c r="C525" i="2"/>
  <c r="C528" i="2"/>
  <c r="C527" i="2"/>
  <c r="C50" i="2"/>
  <c r="C51" i="2"/>
  <c r="C136" i="2"/>
  <c r="D136" i="2" s="1"/>
  <c r="C231" i="2"/>
  <c r="G382" i="2"/>
  <c r="C188" i="2"/>
  <c r="B188" i="2" s="1"/>
  <c r="C282" i="2"/>
  <c r="C230" i="2"/>
  <c r="C135" i="2"/>
  <c r="D135" i="2" s="1"/>
  <c r="C95" i="2"/>
  <c r="B526" i="2"/>
  <c r="B389" i="2" l="1"/>
  <c r="E389" i="2"/>
  <c r="B282" i="2"/>
  <c r="F488" i="2"/>
  <c r="E488" i="2"/>
  <c r="G488" i="2"/>
  <c r="B488" i="2"/>
  <c r="C489" i="2"/>
  <c r="C390" i="2"/>
  <c r="F437" i="2"/>
  <c r="I437" i="2"/>
  <c r="G437" i="2"/>
  <c r="E437" i="2"/>
  <c r="D437" i="2"/>
  <c r="H333" i="2"/>
  <c r="H436" i="2"/>
  <c r="C333" i="2"/>
  <c r="C436" i="2"/>
  <c r="I333" i="2"/>
  <c r="D333" i="2"/>
  <c r="F333" i="2"/>
  <c r="E333" i="2"/>
  <c r="G333" i="2"/>
  <c r="H24" i="2"/>
  <c r="B334" i="2"/>
  <c r="G24" i="2"/>
  <c r="E25" i="2"/>
  <c r="B438" i="2" s="1"/>
  <c r="C26" i="2"/>
  <c r="B25" i="3"/>
  <c r="D26" i="2"/>
  <c r="E23" i="1"/>
  <c r="F22" i="1"/>
  <c r="F24" i="2"/>
  <c r="D23" i="3"/>
  <c r="I23" i="3" s="1"/>
  <c r="C526" i="2"/>
  <c r="C52" i="2"/>
  <c r="B53" i="2"/>
  <c r="G383" i="2"/>
  <c r="B138" i="2"/>
  <c r="B529" i="2"/>
  <c r="B233" i="2"/>
  <c r="C232" i="2"/>
  <c r="C137" i="2"/>
  <c r="D137" i="2" s="1"/>
  <c r="C283" i="2"/>
  <c r="C189" i="2"/>
  <c r="B189" i="2" s="1"/>
  <c r="C96" i="2"/>
  <c r="B390" i="2" l="1"/>
  <c r="E390" i="2"/>
  <c r="B283" i="2"/>
  <c r="E489" i="2"/>
  <c r="F489" i="2"/>
  <c r="G489" i="2"/>
  <c r="B489" i="2"/>
  <c r="C490" i="2"/>
  <c r="C391" i="2"/>
  <c r="F438" i="2"/>
  <c r="D438" i="2"/>
  <c r="E438" i="2"/>
  <c r="G438" i="2"/>
  <c r="I438" i="2"/>
  <c r="C334" i="2"/>
  <c r="C437" i="2"/>
  <c r="H334" i="2"/>
  <c r="H437" i="2"/>
  <c r="I334" i="2"/>
  <c r="F334" i="2"/>
  <c r="E334" i="2"/>
  <c r="D334" i="2"/>
  <c r="G334" i="2"/>
  <c r="E24" i="1"/>
  <c r="F23" i="1"/>
  <c r="F25" i="2"/>
  <c r="D24" i="3"/>
  <c r="I24" i="3" s="1"/>
  <c r="B26" i="3"/>
  <c r="D27" i="2"/>
  <c r="C27" i="2"/>
  <c r="E26" i="2"/>
  <c r="B439" i="2" s="1"/>
  <c r="B335" i="2"/>
  <c r="G25" i="2"/>
  <c r="H25" i="2"/>
  <c r="C529" i="2"/>
  <c r="C53" i="2"/>
  <c r="B54" i="2"/>
  <c r="G384" i="2"/>
  <c r="C233" i="2"/>
  <c r="C138" i="2"/>
  <c r="D138" i="2" s="1"/>
  <c r="B530" i="2"/>
  <c r="B234" i="2"/>
  <c r="B139" i="2"/>
  <c r="C190" i="2"/>
  <c r="B190" i="2" s="1"/>
  <c r="C284" i="2"/>
  <c r="C97" i="2"/>
  <c r="B391" i="2" l="1"/>
  <c r="E391" i="2"/>
  <c r="B284" i="2"/>
  <c r="F490" i="2"/>
  <c r="E490" i="2"/>
  <c r="G490" i="2"/>
  <c r="B490" i="2"/>
  <c r="C491" i="2"/>
  <c r="C392" i="2"/>
  <c r="F439" i="2"/>
  <c r="D439" i="2"/>
  <c r="I439" i="2"/>
  <c r="E439" i="2"/>
  <c r="G439" i="2"/>
  <c r="H335" i="2"/>
  <c r="H438" i="2"/>
  <c r="C335" i="2"/>
  <c r="C438" i="2"/>
  <c r="F26" i="2"/>
  <c r="D25" i="3"/>
  <c r="I25" i="3" s="1"/>
  <c r="F24" i="1"/>
  <c r="E25" i="1"/>
  <c r="C28" i="2"/>
  <c r="E27" i="2"/>
  <c r="B440" i="2" s="1"/>
  <c r="H26" i="2"/>
  <c r="B336" i="2"/>
  <c r="G26" i="2"/>
  <c r="I335" i="2"/>
  <c r="F335" i="2"/>
  <c r="G335" i="2"/>
  <c r="D335" i="2"/>
  <c r="E335" i="2"/>
  <c r="B27" i="3"/>
  <c r="D28" i="2"/>
  <c r="BI530" i="2"/>
  <c r="BA530" i="2"/>
  <c r="AS530" i="2"/>
  <c r="AK530" i="2"/>
  <c r="BG530" i="2" s="1"/>
  <c r="U530" i="2"/>
  <c r="M530" i="2"/>
  <c r="E530" i="2"/>
  <c r="BU530" i="2"/>
  <c r="BE530" i="2"/>
  <c r="AO530" i="2"/>
  <c r="AG530" i="2"/>
  <c r="Y530" i="2"/>
  <c r="Q530" i="2"/>
  <c r="AM530" i="2" s="1"/>
  <c r="I530" i="2"/>
  <c r="BN530" i="2"/>
  <c r="W530" i="2"/>
  <c r="L530" i="2"/>
  <c r="AH530" i="2" s="1"/>
  <c r="AQ530" i="2"/>
  <c r="AF530" i="2"/>
  <c r="BB530" i="2" s="1"/>
  <c r="V530" i="2"/>
  <c r="AR530" i="2" s="1"/>
  <c r="K530" i="2"/>
  <c r="BK530" i="2"/>
  <c r="AZ530" i="2"/>
  <c r="AP530" i="2"/>
  <c r="BL530" i="2" s="1"/>
  <c r="AE530" i="2"/>
  <c r="T530" i="2"/>
  <c r="J530" i="2"/>
  <c r="O530" i="2" s="1"/>
  <c r="BT530" i="2"/>
  <c r="BJ530" i="2"/>
  <c r="AY530" i="2"/>
  <c r="AN530" i="2"/>
  <c r="AD530" i="2"/>
  <c r="AI530" i="2" s="1"/>
  <c r="S530" i="2"/>
  <c r="H530" i="2"/>
  <c r="BS530" i="2"/>
  <c r="BH530" i="2"/>
  <c r="BM530" i="2" s="1"/>
  <c r="AX530" i="2"/>
  <c r="BC530" i="2" s="1"/>
  <c r="AB530" i="2"/>
  <c r="R530" i="2"/>
  <c r="G530" i="2"/>
  <c r="AC530" i="2" s="1"/>
  <c r="BR530" i="2"/>
  <c r="AV530" i="2"/>
  <c r="AL530" i="2"/>
  <c r="AA530" i="2"/>
  <c r="AW530" i="2" s="1"/>
  <c r="P530" i="2"/>
  <c r="F530" i="2"/>
  <c r="BP530" i="2"/>
  <c r="BF530" i="2"/>
  <c r="AU530" i="2"/>
  <c r="BQ530" i="2" s="1"/>
  <c r="AJ530" i="2"/>
  <c r="Z530" i="2"/>
  <c r="D530" i="2"/>
  <c r="X530" i="2"/>
  <c r="N530" i="2"/>
  <c r="C530" i="2"/>
  <c r="BO530" i="2"/>
  <c r="AT530" i="2"/>
  <c r="BD530" i="2"/>
  <c r="F139" i="2"/>
  <c r="D139" i="2"/>
  <c r="F234" i="2"/>
  <c r="G234" i="2"/>
  <c r="E234" i="2"/>
  <c r="B55" i="2"/>
  <c r="C54" i="2"/>
  <c r="C234" i="2"/>
  <c r="C139" i="2"/>
  <c r="G385" i="2"/>
  <c r="B140" i="2"/>
  <c r="B531" i="2"/>
  <c r="B235" i="2"/>
  <c r="C191" i="2"/>
  <c r="B191" i="2" s="1"/>
  <c r="C98" i="2"/>
  <c r="C285" i="2"/>
  <c r="B392" i="2" l="1"/>
  <c r="E392" i="2"/>
  <c r="B285" i="2"/>
  <c r="F491" i="2"/>
  <c r="E491" i="2"/>
  <c r="G491" i="2"/>
  <c r="B491" i="2"/>
  <c r="C492" i="2"/>
  <c r="C393" i="2"/>
  <c r="C336" i="2"/>
  <c r="C439" i="2"/>
  <c r="H336" i="2"/>
  <c r="H439" i="2"/>
  <c r="I440" i="2"/>
  <c r="E440" i="2"/>
  <c r="G440" i="2"/>
  <c r="F440" i="2"/>
  <c r="D440" i="2"/>
  <c r="B28" i="3"/>
  <c r="D29" i="2"/>
  <c r="D336" i="2"/>
  <c r="I336" i="2"/>
  <c r="F336" i="2"/>
  <c r="E336" i="2"/>
  <c r="G336" i="2"/>
  <c r="G27" i="2"/>
  <c r="B337" i="2"/>
  <c r="H27" i="2"/>
  <c r="C29" i="2"/>
  <c r="E28" i="2"/>
  <c r="B441" i="2" s="1"/>
  <c r="F25" i="1"/>
  <c r="E26" i="1"/>
  <c r="F27" i="2"/>
  <c r="D26" i="3"/>
  <c r="I26" i="3" s="1"/>
  <c r="F140" i="2"/>
  <c r="D140" i="2"/>
  <c r="F235" i="2"/>
  <c r="G235" i="2"/>
  <c r="E235" i="2"/>
  <c r="BR531" i="2"/>
  <c r="BJ531" i="2"/>
  <c r="AT531" i="2"/>
  <c r="AL531" i="2"/>
  <c r="AD531" i="2"/>
  <c r="AI531" i="2" s="1"/>
  <c r="V531" i="2"/>
  <c r="AR531" i="2" s="1"/>
  <c r="N531" i="2"/>
  <c r="F531" i="2"/>
  <c r="BN531" i="2"/>
  <c r="BF531" i="2"/>
  <c r="AX531" i="2"/>
  <c r="BC531" i="2" s="1"/>
  <c r="AP531" i="2"/>
  <c r="BL531" i="2" s="1"/>
  <c r="Z531" i="2"/>
  <c r="R531" i="2"/>
  <c r="J531" i="2"/>
  <c r="O531" i="2" s="1"/>
  <c r="AV531" i="2"/>
  <c r="AK531" i="2"/>
  <c r="BG531" i="2" s="1"/>
  <c r="AA531" i="2"/>
  <c r="AW531" i="2" s="1"/>
  <c r="P531" i="2"/>
  <c r="E531" i="2"/>
  <c r="BP531" i="2"/>
  <c r="BE531" i="2"/>
  <c r="AU531" i="2"/>
  <c r="BQ531" i="2" s="1"/>
  <c r="AJ531" i="2"/>
  <c r="Y531" i="2"/>
  <c r="D531" i="2"/>
  <c r="BO531" i="2"/>
  <c r="BD531" i="2"/>
  <c r="AS531" i="2"/>
  <c r="X531" i="2"/>
  <c r="M531" i="2"/>
  <c r="C531" i="2"/>
  <c r="AG531" i="2"/>
  <c r="W531" i="2"/>
  <c r="L531" i="2"/>
  <c r="AH531" i="2" s="1"/>
  <c r="BA531" i="2"/>
  <c r="AQ531" i="2"/>
  <c r="AF531" i="2"/>
  <c r="BB531" i="2" s="1"/>
  <c r="U531" i="2"/>
  <c r="K531" i="2"/>
  <c r="BU531" i="2"/>
  <c r="BK531" i="2"/>
  <c r="AZ531" i="2"/>
  <c r="AO531" i="2"/>
  <c r="AE531" i="2"/>
  <c r="T531" i="2"/>
  <c r="I531" i="2"/>
  <c r="BT531" i="2"/>
  <c r="BI531" i="2"/>
  <c r="AY531" i="2"/>
  <c r="AN531" i="2"/>
  <c r="S531" i="2"/>
  <c r="H531" i="2"/>
  <c r="AB531" i="2"/>
  <c r="Q531" i="2"/>
  <c r="AM531" i="2" s="1"/>
  <c r="G531" i="2"/>
  <c r="AC531" i="2" s="1"/>
  <c r="BH531" i="2"/>
  <c r="BM531" i="2" s="1"/>
  <c r="BS531" i="2"/>
  <c r="C55" i="2"/>
  <c r="B56" i="2"/>
  <c r="B141" i="2"/>
  <c r="C140" i="2"/>
  <c r="C235" i="2"/>
  <c r="C192" i="2"/>
  <c r="B192" i="2" s="1"/>
  <c r="B236" i="2"/>
  <c r="G386" i="2"/>
  <c r="C286" i="2"/>
  <c r="C99" i="2"/>
  <c r="B393" i="2" l="1"/>
  <c r="E393" i="2"/>
  <c r="B286" i="2"/>
  <c r="F492" i="2"/>
  <c r="E492" i="2"/>
  <c r="G492" i="2"/>
  <c r="B492" i="2"/>
  <c r="C493" i="2"/>
  <c r="C394" i="2"/>
  <c r="H337" i="2"/>
  <c r="H440" i="2"/>
  <c r="C337" i="2"/>
  <c r="C440" i="2"/>
  <c r="F441" i="2"/>
  <c r="I441" i="2"/>
  <c r="G441" i="2"/>
  <c r="D441" i="2"/>
  <c r="E441" i="2"/>
  <c r="F28" i="2"/>
  <c r="D27" i="3"/>
  <c r="I27" i="3" s="1"/>
  <c r="E27" i="1"/>
  <c r="F26" i="1"/>
  <c r="B338" i="2"/>
  <c r="H28" i="2"/>
  <c r="G28" i="2"/>
  <c r="C441" i="2" s="1"/>
  <c r="E29" i="2"/>
  <c r="C30" i="2"/>
  <c r="E30" i="2" s="1"/>
  <c r="B29" i="3"/>
  <c r="D30" i="2"/>
  <c r="B30" i="3" s="1"/>
  <c r="I337" i="2"/>
  <c r="G337" i="2"/>
  <c r="D337" i="2"/>
  <c r="F337" i="2"/>
  <c r="E337" i="2"/>
  <c r="F236" i="2"/>
  <c r="E236" i="2"/>
  <c r="G236" i="2"/>
  <c r="D141" i="2"/>
  <c r="F141" i="2"/>
  <c r="C56" i="2"/>
  <c r="B57" i="2"/>
  <c r="C236" i="2"/>
  <c r="C141" i="2"/>
  <c r="G387" i="2"/>
  <c r="B142" i="2"/>
  <c r="B237" i="2"/>
  <c r="C193" i="2"/>
  <c r="B193" i="2" s="1"/>
  <c r="C100" i="2"/>
  <c r="C287" i="2"/>
  <c r="B394" i="2" l="1"/>
  <c r="E394" i="2"/>
  <c r="B287" i="2"/>
  <c r="E493" i="2"/>
  <c r="F493" i="2"/>
  <c r="G493" i="2"/>
  <c r="B493" i="2"/>
  <c r="C494" i="2"/>
  <c r="C395" i="2"/>
  <c r="B443" i="2"/>
  <c r="B442" i="2"/>
  <c r="H442" i="2"/>
  <c r="H441" i="2"/>
  <c r="B339" i="2"/>
  <c r="H29" i="2"/>
  <c r="G29" i="2"/>
  <c r="C339" i="2"/>
  <c r="C338" i="2"/>
  <c r="H339" i="2"/>
  <c r="H338" i="2"/>
  <c r="D338" i="2"/>
  <c r="I338" i="2"/>
  <c r="F338" i="2"/>
  <c r="E338" i="2"/>
  <c r="G338" i="2"/>
  <c r="F27" i="1"/>
  <c r="E28" i="1"/>
  <c r="B340" i="2"/>
  <c r="G30" i="2"/>
  <c r="H30" i="2"/>
  <c r="F29" i="2"/>
  <c r="I28" i="2"/>
  <c r="D28" i="3"/>
  <c r="I28" i="3" s="1"/>
  <c r="G237" i="2"/>
  <c r="F237" i="2"/>
  <c r="E237" i="2"/>
  <c r="F142" i="2"/>
  <c r="D142" i="2"/>
  <c r="C57" i="2"/>
  <c r="B58" i="2"/>
  <c r="G388" i="2"/>
  <c r="B143" i="2"/>
  <c r="B238" i="2"/>
  <c r="C237" i="2"/>
  <c r="C142" i="2"/>
  <c r="C101" i="2"/>
  <c r="C194" i="2"/>
  <c r="B194" i="2" s="1"/>
  <c r="C288" i="2"/>
  <c r="B395" i="2" l="1"/>
  <c r="E395" i="2"/>
  <c r="B288" i="2"/>
  <c r="E288" i="2"/>
  <c r="F494" i="2"/>
  <c r="E494" i="2"/>
  <c r="G494" i="2"/>
  <c r="B494" i="2"/>
  <c r="E101" i="2"/>
  <c r="B101" i="2"/>
  <c r="D494" i="2"/>
  <c r="D395" i="2"/>
  <c r="C495" i="2"/>
  <c r="C396" i="2"/>
  <c r="F442" i="2"/>
  <c r="G442" i="2"/>
  <c r="D442" i="2"/>
  <c r="I442" i="2"/>
  <c r="E442" i="2"/>
  <c r="I443" i="2"/>
  <c r="E443" i="2"/>
  <c r="D443" i="2"/>
  <c r="G443" i="2"/>
  <c r="F443" i="2"/>
  <c r="C340" i="2"/>
  <c r="C443" i="2"/>
  <c r="C442" i="2"/>
  <c r="H340" i="2"/>
  <c r="H443" i="2"/>
  <c r="E29" i="1"/>
  <c r="F28" i="1"/>
  <c r="F30" i="2"/>
  <c r="D29" i="3"/>
  <c r="I29" i="3" s="1"/>
  <c r="I29" i="2"/>
  <c r="F340" i="2"/>
  <c r="I340" i="2"/>
  <c r="G340" i="2"/>
  <c r="D340" i="2"/>
  <c r="E340" i="2"/>
  <c r="G339" i="2"/>
  <c r="E339" i="2"/>
  <c r="F339" i="2"/>
  <c r="I339" i="2"/>
  <c r="D339" i="2"/>
  <c r="E238" i="2"/>
  <c r="G238" i="2"/>
  <c r="F238" i="2"/>
  <c r="F143" i="2"/>
  <c r="D143" i="2"/>
  <c r="B145" i="2"/>
  <c r="B60" i="2"/>
  <c r="B240" i="2"/>
  <c r="B144" i="2"/>
  <c r="C58" i="2"/>
  <c r="B59" i="2"/>
  <c r="G389" i="2"/>
  <c r="B239" i="2"/>
  <c r="C143" i="2"/>
  <c r="C238" i="2"/>
  <c r="C195" i="2"/>
  <c r="B195" i="2" s="1"/>
  <c r="C102" i="2"/>
  <c r="C289" i="2"/>
  <c r="B396" i="2" l="1"/>
  <c r="E396" i="2"/>
  <c r="B289" i="2"/>
  <c r="E289" i="2"/>
  <c r="E495" i="2"/>
  <c r="F495" i="2"/>
  <c r="G495" i="2"/>
  <c r="B495" i="2"/>
  <c r="E102" i="2"/>
  <c r="B102" i="2"/>
  <c r="D495" i="2"/>
  <c r="D396" i="2"/>
  <c r="C496" i="2"/>
  <c r="C397" i="2"/>
  <c r="G444" i="2"/>
  <c r="I30" i="2"/>
  <c r="D30" i="3"/>
  <c r="I30" i="3" s="1"/>
  <c r="F29" i="1"/>
  <c r="E30" i="1"/>
  <c r="E239" i="2"/>
  <c r="G239" i="2"/>
  <c r="F239" i="2"/>
  <c r="G240" i="2"/>
  <c r="F240" i="2"/>
  <c r="E240" i="2"/>
  <c r="D145" i="2"/>
  <c r="F145" i="2"/>
  <c r="F144" i="2"/>
  <c r="D144" i="2"/>
  <c r="C240" i="2"/>
  <c r="C60" i="2"/>
  <c r="C145" i="2"/>
  <c r="B146" i="2"/>
  <c r="B61" i="2"/>
  <c r="B241" i="2"/>
  <c r="C144" i="2"/>
  <c r="C59" i="2"/>
  <c r="G390" i="2"/>
  <c r="C239" i="2"/>
  <c r="C290" i="2"/>
  <c r="C103" i="2"/>
  <c r="C196" i="2"/>
  <c r="B196" i="2" s="1"/>
  <c r="B397" i="2" l="1"/>
  <c r="E397" i="2"/>
  <c r="B290" i="2"/>
  <c r="E290" i="2"/>
  <c r="F496" i="2"/>
  <c r="E496" i="2"/>
  <c r="G496" i="2"/>
  <c r="B496" i="2"/>
  <c r="E103" i="2"/>
  <c r="B103" i="2"/>
  <c r="D496" i="2"/>
  <c r="D397" i="2"/>
  <c r="E31" i="1"/>
  <c r="F30" i="1"/>
  <c r="G241" i="2"/>
  <c r="F241" i="2"/>
  <c r="E241" i="2"/>
  <c r="F146" i="2"/>
  <c r="D146" i="2"/>
  <c r="B147" i="2"/>
  <c r="B242" i="2"/>
  <c r="B62" i="2"/>
  <c r="C241" i="2"/>
  <c r="C61" i="2"/>
  <c r="C146" i="2"/>
  <c r="C105" i="2"/>
  <c r="C292" i="2"/>
  <c r="G392" i="2"/>
  <c r="C198" i="2"/>
  <c r="B198" i="2" s="1"/>
  <c r="G391" i="2"/>
  <c r="C104" i="2"/>
  <c r="C291" i="2"/>
  <c r="C197" i="2"/>
  <c r="B197" i="2" s="1"/>
  <c r="B291" i="2" l="1"/>
  <c r="E291" i="2"/>
  <c r="B292" i="2"/>
  <c r="E292" i="2"/>
  <c r="E105" i="2"/>
  <c r="B105" i="2"/>
  <c r="E104" i="2"/>
  <c r="B104" i="2"/>
  <c r="F31" i="1"/>
  <c r="E32" i="1"/>
  <c r="G242" i="2"/>
  <c r="E242" i="2"/>
  <c r="F242" i="2"/>
  <c r="F147" i="2"/>
  <c r="D147" i="2"/>
  <c r="B243" i="2"/>
  <c r="B148" i="2"/>
  <c r="B63" i="2"/>
  <c r="C147" i="2"/>
  <c r="C242" i="2"/>
  <c r="C62" i="2"/>
  <c r="C293" i="2"/>
  <c r="C199" i="2"/>
  <c r="B199" i="2" s="1"/>
  <c r="G393" i="2"/>
  <c r="C106" i="2"/>
  <c r="B293" i="2" l="1"/>
  <c r="E293" i="2"/>
  <c r="E106" i="2"/>
  <c r="B106" i="2"/>
  <c r="E33" i="1"/>
  <c r="F33" i="1" s="1"/>
  <c r="F32" i="1"/>
  <c r="F243" i="2"/>
  <c r="E243" i="2"/>
  <c r="G243" i="2"/>
  <c r="F148" i="2"/>
  <c r="D148" i="2"/>
  <c r="B244" i="2"/>
  <c r="B64" i="2"/>
  <c r="B149" i="2"/>
  <c r="C200" i="2"/>
  <c r="B200" i="2" s="1"/>
  <c r="G394" i="2"/>
  <c r="C294" i="2"/>
  <c r="C107" i="2"/>
  <c r="C148" i="2"/>
  <c r="C63" i="2"/>
  <c r="C243" i="2"/>
  <c r="B294" i="2" l="1"/>
  <c r="E294" i="2"/>
  <c r="E107" i="2"/>
  <c r="B107" i="2"/>
  <c r="F244" i="2"/>
  <c r="G244" i="2"/>
  <c r="E244" i="2"/>
  <c r="D149" i="2"/>
  <c r="F149" i="2"/>
  <c r="B150" i="2"/>
  <c r="B65" i="2"/>
  <c r="B245" i="2"/>
  <c r="B66" i="2"/>
  <c r="C64" i="2"/>
  <c r="C244" i="2"/>
  <c r="C149" i="2"/>
  <c r="C108" i="2"/>
  <c r="C201" i="2"/>
  <c r="B201" i="2" s="1"/>
  <c r="G395" i="2"/>
  <c r="C295" i="2"/>
  <c r="B295" i="2" l="1"/>
  <c r="E295" i="2"/>
  <c r="E108" i="2"/>
  <c r="B108" i="2"/>
  <c r="F150" i="2"/>
  <c r="D150" i="2"/>
  <c r="E245" i="2"/>
  <c r="G245" i="2"/>
  <c r="F245" i="2"/>
  <c r="D32" i="2"/>
  <c r="B151" i="2"/>
  <c r="B246" i="2"/>
  <c r="C65" i="2"/>
  <c r="C150" i="2"/>
  <c r="C245" i="2"/>
  <c r="C66" i="2"/>
  <c r="C246" i="2"/>
  <c r="C447" i="2" l="1"/>
  <c r="C343" i="2"/>
  <c r="D33" i="2"/>
  <c r="H6" i="2" s="1"/>
  <c r="E246" i="2"/>
  <c r="G246" i="2"/>
  <c r="F246" i="2"/>
  <c r="F151" i="2"/>
  <c r="D151" i="2"/>
  <c r="C247" i="2"/>
  <c r="C67" i="2"/>
  <c r="C69" i="2"/>
  <c r="C154" i="2"/>
  <c r="C539" i="2"/>
  <c r="C249" i="2"/>
  <c r="C151" i="2"/>
  <c r="G341" i="2"/>
  <c r="C202" i="2"/>
  <c r="B202" i="2" s="1"/>
  <c r="C296" i="2"/>
  <c r="C109" i="2"/>
  <c r="G396" i="2"/>
  <c r="C297" i="2"/>
  <c r="C203" i="2"/>
  <c r="B203" i="2" s="1"/>
  <c r="C110" i="2"/>
  <c r="G397" i="2"/>
  <c r="B297" i="2" l="1"/>
  <c r="E297" i="2"/>
  <c r="B296" i="2"/>
  <c r="E296" i="2"/>
  <c r="C453" i="2"/>
  <c r="C452" i="2"/>
  <c r="E109" i="2"/>
  <c r="B109" i="2"/>
  <c r="E110" i="2"/>
  <c r="B110" i="2"/>
  <c r="C348" i="2"/>
  <c r="C349" i="2"/>
  <c r="C353" i="2" s="1"/>
  <c r="C399" i="2" s="1"/>
  <c r="C72" i="2"/>
  <c r="C73" i="2"/>
  <c r="D152" i="2"/>
  <c r="C159" i="2" s="1"/>
  <c r="H7" i="2"/>
  <c r="H8" i="2" s="1"/>
  <c r="H421" i="2" s="1"/>
  <c r="I421" i="2" s="1"/>
  <c r="I6" i="2"/>
  <c r="D373" i="2" s="1"/>
  <c r="H316" i="2"/>
  <c r="I316" i="2" s="1"/>
  <c r="H419" i="2"/>
  <c r="I419" i="2" s="1"/>
  <c r="E127" i="2"/>
  <c r="F127" i="2" s="1"/>
  <c r="D42" i="2"/>
  <c r="D222" i="2"/>
  <c r="C456" i="2" l="1"/>
  <c r="C457" i="2"/>
  <c r="C113" i="2"/>
  <c r="C352" i="2"/>
  <c r="C160" i="2"/>
  <c r="H317" i="2"/>
  <c r="I317" i="2" s="1"/>
  <c r="H318" i="2"/>
  <c r="I318" i="2" s="1"/>
  <c r="H420" i="2"/>
  <c r="I420" i="2" s="1"/>
  <c r="H9" i="2"/>
  <c r="H422" i="2" s="1"/>
  <c r="I422" i="2" s="1"/>
  <c r="D472" i="2"/>
  <c r="D179" i="2"/>
  <c r="D86" i="2"/>
  <c r="I7" i="2"/>
  <c r="D273" i="2"/>
  <c r="F222" i="2"/>
  <c r="G222" i="2"/>
  <c r="E222" i="2"/>
  <c r="F42" i="2"/>
  <c r="E42" i="2"/>
  <c r="E128" i="2"/>
  <c r="F128" i="2" s="1"/>
  <c r="D43" i="2"/>
  <c r="D223" i="2"/>
  <c r="C498" i="2" l="1"/>
  <c r="C356" i="2"/>
  <c r="C357" i="2"/>
  <c r="C206" i="2"/>
  <c r="C163" i="2"/>
  <c r="C164" i="2"/>
  <c r="C208" i="2" s="1"/>
  <c r="H10" i="2"/>
  <c r="H320" i="2" s="1"/>
  <c r="I320" i="2" s="1"/>
  <c r="H319" i="2"/>
  <c r="I319" i="2" s="1"/>
  <c r="D87" i="2"/>
  <c r="D374" i="2"/>
  <c r="D473" i="2"/>
  <c r="I8" i="2"/>
  <c r="D375" i="2" s="1"/>
  <c r="D180" i="2"/>
  <c r="D274" i="2"/>
  <c r="G223" i="2"/>
  <c r="E223" i="2"/>
  <c r="F223" i="2"/>
  <c r="F43" i="2"/>
  <c r="E43" i="2"/>
  <c r="E129" i="2"/>
  <c r="F129" i="2" s="1"/>
  <c r="D224" i="2"/>
  <c r="D44" i="2"/>
  <c r="H11" i="2" l="1"/>
  <c r="H12" i="2" s="1"/>
  <c r="H423" i="2"/>
  <c r="I423" i="2" s="1"/>
  <c r="I9" i="2"/>
  <c r="D376" i="2" s="1"/>
  <c r="D181" i="2"/>
  <c r="D275" i="2"/>
  <c r="D474" i="2"/>
  <c r="D88" i="2"/>
  <c r="G224" i="2"/>
  <c r="E224" i="2"/>
  <c r="F224" i="2"/>
  <c r="H321" i="2"/>
  <c r="I321" i="2" s="1"/>
  <c r="F44" i="2"/>
  <c r="E44" i="2"/>
  <c r="E130" i="2"/>
  <c r="F130" i="2" s="1"/>
  <c r="D225" i="2"/>
  <c r="D45" i="2"/>
  <c r="C91" i="2"/>
  <c r="H424" i="2" l="1"/>
  <c r="I424" i="2" s="1"/>
  <c r="B91" i="2"/>
  <c r="B92" i="2" s="1"/>
  <c r="B93" i="2" s="1"/>
  <c r="B94" i="2" s="1"/>
  <c r="B95" i="2" s="1"/>
  <c r="B96" i="2" s="1"/>
  <c r="B97" i="2" s="1"/>
  <c r="B98" i="2" s="1"/>
  <c r="B99" i="2" s="1"/>
  <c r="B100" i="2" s="1"/>
  <c r="D475" i="2"/>
  <c r="I10" i="2"/>
  <c r="D377" i="2" s="1"/>
  <c r="D182" i="2"/>
  <c r="D89" i="2"/>
  <c r="D276" i="2"/>
  <c r="G225" i="2"/>
  <c r="E225" i="2"/>
  <c r="F225" i="2"/>
  <c r="H322" i="2"/>
  <c r="I322" i="2" s="1"/>
  <c r="H425" i="2"/>
  <c r="I425" i="2" s="1"/>
  <c r="H13" i="2"/>
  <c r="F45" i="2"/>
  <c r="E45" i="2"/>
  <c r="D46" i="2"/>
  <c r="D226" i="2"/>
  <c r="E131" i="2"/>
  <c r="F131" i="2" s="1"/>
  <c r="D476" i="2" l="1"/>
  <c r="I11" i="2"/>
  <c r="D378" i="2" s="1"/>
  <c r="D277" i="2"/>
  <c r="D90" i="2"/>
  <c r="D183" i="2"/>
  <c r="E226" i="2"/>
  <c r="G226" i="2"/>
  <c r="F226" i="2"/>
  <c r="H323" i="2"/>
  <c r="I323" i="2" s="1"/>
  <c r="H426" i="2"/>
  <c r="I426" i="2" s="1"/>
  <c r="H14" i="2"/>
  <c r="H15" i="2" s="1"/>
  <c r="F46" i="2"/>
  <c r="E46" i="2"/>
  <c r="D47" i="2"/>
  <c r="D227" i="2"/>
  <c r="E132" i="2"/>
  <c r="F132" i="2" s="1"/>
  <c r="D184" i="2" l="1"/>
  <c r="D278" i="2"/>
  <c r="D477" i="2"/>
  <c r="I12" i="2"/>
  <c r="D379" i="2" s="1"/>
  <c r="D91" i="2"/>
  <c r="H428" i="2"/>
  <c r="I428" i="2" s="1"/>
  <c r="H16" i="2"/>
  <c r="H325" i="2"/>
  <c r="I325" i="2" s="1"/>
  <c r="H324" i="2"/>
  <c r="I324" i="2" s="1"/>
  <c r="H427" i="2"/>
  <c r="I427" i="2" s="1"/>
  <c r="E227" i="2"/>
  <c r="G227" i="2"/>
  <c r="F227" i="2"/>
  <c r="F47" i="2"/>
  <c r="E47" i="2"/>
  <c r="D228" i="2"/>
  <c r="E133" i="2"/>
  <c r="F133" i="2" s="1"/>
  <c r="D48" i="2"/>
  <c r="D92" i="2" l="1"/>
  <c r="D478" i="2"/>
  <c r="D279" i="2"/>
  <c r="D185" i="2"/>
  <c r="I13" i="2"/>
  <c r="D380" i="2" s="1"/>
  <c r="H429" i="2"/>
  <c r="I429" i="2" s="1"/>
  <c r="H326" i="2"/>
  <c r="I326" i="2" s="1"/>
  <c r="H17" i="2"/>
  <c r="E228" i="2"/>
  <c r="G228" i="2"/>
  <c r="F228" i="2"/>
  <c r="F48" i="2"/>
  <c r="E48" i="2"/>
  <c r="D49" i="2"/>
  <c r="D229" i="2"/>
  <c r="E134" i="2"/>
  <c r="F134" i="2" s="1"/>
  <c r="D280" i="2" l="1"/>
  <c r="I14" i="2"/>
  <c r="I15" i="2" s="1"/>
  <c r="D186" i="2"/>
  <c r="D479" i="2"/>
  <c r="D93" i="2"/>
  <c r="H327" i="2"/>
  <c r="I327" i="2" s="1"/>
  <c r="H430" i="2"/>
  <c r="I430" i="2" s="1"/>
  <c r="I444" i="2" s="1"/>
  <c r="E229" i="2"/>
  <c r="G229" i="2"/>
  <c r="F229" i="2"/>
  <c r="F49" i="2"/>
  <c r="E49" i="2"/>
  <c r="D230" i="2"/>
  <c r="D50" i="2"/>
  <c r="E135" i="2"/>
  <c r="F135" i="2" s="1"/>
  <c r="D94" i="2" l="1"/>
  <c r="D381" i="2"/>
  <c r="D187" i="2"/>
  <c r="D281" i="2"/>
  <c r="D480" i="2"/>
  <c r="D95" i="2"/>
  <c r="C115" i="2" s="1"/>
  <c r="D382" i="2"/>
  <c r="C403" i="2" s="1"/>
  <c r="I16" i="2"/>
  <c r="D481" i="2"/>
  <c r="C502" i="2" s="1"/>
  <c r="F50" i="2"/>
  <c r="E50" i="2"/>
  <c r="E230" i="2"/>
  <c r="G230" i="2"/>
  <c r="F230" i="2"/>
  <c r="E136" i="2"/>
  <c r="F136" i="2" s="1"/>
  <c r="D231" i="2"/>
  <c r="D51" i="2"/>
  <c r="D282" i="2"/>
  <c r="C302" i="2" s="1"/>
  <c r="D188" i="2"/>
  <c r="C210" i="2" s="1"/>
  <c r="D96" i="2" l="1"/>
  <c r="D383" i="2"/>
  <c r="I17" i="2"/>
  <c r="D482" i="2"/>
  <c r="E231" i="2"/>
  <c r="G231" i="2"/>
  <c r="F231" i="2"/>
  <c r="F51" i="2"/>
  <c r="E51" i="2"/>
  <c r="D52" i="2"/>
  <c r="E137" i="2"/>
  <c r="F137" i="2" s="1"/>
  <c r="D232" i="2"/>
  <c r="D189" i="2"/>
  <c r="D283" i="2"/>
  <c r="D97" i="2" l="1"/>
  <c r="D384" i="2"/>
  <c r="I18" i="2"/>
  <c r="D385" i="2" s="1"/>
  <c r="D483" i="2"/>
  <c r="F52" i="2"/>
  <c r="E52" i="2"/>
  <c r="E232" i="2"/>
  <c r="G232" i="2"/>
  <c r="F232" i="2"/>
  <c r="D53" i="2"/>
  <c r="E138" i="2"/>
  <c r="F138" i="2" s="1"/>
  <c r="D233" i="2"/>
  <c r="D284" i="2"/>
  <c r="D190" i="2"/>
  <c r="D484" i="2" l="1"/>
  <c r="I19" i="2"/>
  <c r="D386" i="2" s="1"/>
  <c r="I21" i="2"/>
  <c r="D388" i="2" s="1"/>
  <c r="F53" i="2"/>
  <c r="E53" i="2"/>
  <c r="G233" i="2"/>
  <c r="E233" i="2"/>
  <c r="F233" i="2"/>
  <c r="D54" i="2"/>
  <c r="E139" i="2"/>
  <c r="D234" i="2"/>
  <c r="D191" i="2"/>
  <c r="D285" i="2"/>
  <c r="D98" i="2"/>
  <c r="I20" i="2" l="1"/>
  <c r="D485" i="2"/>
  <c r="I22" i="2"/>
  <c r="D389" i="2" s="1"/>
  <c r="D487" i="2"/>
  <c r="F54" i="2"/>
  <c r="E54" i="2"/>
  <c r="E140" i="2"/>
  <c r="D235" i="2"/>
  <c r="D55" i="2"/>
  <c r="D286" i="2"/>
  <c r="D99" i="2"/>
  <c r="D192" i="2"/>
  <c r="D486" i="2" l="1"/>
  <c r="D387" i="2"/>
  <c r="I23" i="2"/>
  <c r="D390" i="2" s="1"/>
  <c r="D488" i="2"/>
  <c r="F55" i="2"/>
  <c r="E55" i="2"/>
  <c r="D56" i="2"/>
  <c r="E141" i="2"/>
  <c r="D236" i="2"/>
  <c r="D100" i="2"/>
  <c r="D287" i="2"/>
  <c r="D193" i="2"/>
  <c r="I24" i="2" l="1"/>
  <c r="D391" i="2" s="1"/>
  <c r="D489" i="2"/>
  <c r="F56" i="2"/>
  <c r="E56" i="2"/>
  <c r="D101" i="2"/>
  <c r="E21" i="3" s="1"/>
  <c r="D194" i="2"/>
  <c r="E194" i="2" s="1"/>
  <c r="F194" i="2" s="1"/>
  <c r="F388" i="2"/>
  <c r="D288" i="2"/>
  <c r="D57" i="2"/>
  <c r="D237" i="2"/>
  <c r="E142" i="2"/>
  <c r="I25" i="2" l="1"/>
  <c r="D392" i="2" s="1"/>
  <c r="D490" i="2"/>
  <c r="F57" i="2"/>
  <c r="E57" i="2"/>
  <c r="D238" i="2"/>
  <c r="D58" i="2"/>
  <c r="E143" i="2"/>
  <c r="D289" i="2"/>
  <c r="F389" i="2"/>
  <c r="D102" i="2"/>
  <c r="E22" i="3" s="1"/>
  <c r="D195" i="2"/>
  <c r="E195" i="2" s="1"/>
  <c r="F195" i="2" s="1"/>
  <c r="I26" i="2" l="1"/>
  <c r="D393" i="2" s="1"/>
  <c r="D491" i="2"/>
  <c r="F58" i="2"/>
  <c r="E58" i="2"/>
  <c r="D59" i="2"/>
  <c r="D239" i="2"/>
  <c r="E144" i="2"/>
  <c r="D103" i="2"/>
  <c r="E23" i="3" s="1"/>
  <c r="D196" i="2"/>
  <c r="E196" i="2" s="1"/>
  <c r="F196" i="2" s="1"/>
  <c r="F390" i="2"/>
  <c r="D290" i="2"/>
  <c r="I27" i="2" l="1"/>
  <c r="D492" i="2"/>
  <c r="F59" i="2"/>
  <c r="E59" i="2"/>
  <c r="E145" i="2"/>
  <c r="D60" i="2"/>
  <c r="D240" i="2"/>
  <c r="D104" i="2"/>
  <c r="E24" i="3" s="1"/>
  <c r="D291" i="2"/>
  <c r="F391" i="2"/>
  <c r="D197" i="2"/>
  <c r="E197" i="2" s="1"/>
  <c r="F197" i="2" s="1"/>
  <c r="D493" i="2" l="1"/>
  <c r="D394" i="2"/>
  <c r="F60" i="2"/>
  <c r="E60" i="2"/>
  <c r="F392" i="2"/>
  <c r="D105" i="2"/>
  <c r="E25" i="3" s="1"/>
  <c r="D198" i="2"/>
  <c r="E198" i="2" s="1"/>
  <c r="F198" i="2" s="1"/>
  <c r="D292" i="2"/>
  <c r="D61" i="2"/>
  <c r="D241" i="2"/>
  <c r="E146" i="2"/>
  <c r="F61" i="2" l="1"/>
  <c r="E61" i="2"/>
  <c r="F393" i="2"/>
  <c r="D293" i="2"/>
  <c r="D106" i="2"/>
  <c r="E26" i="3" s="1"/>
  <c r="D199" i="2"/>
  <c r="E199" i="2" s="1"/>
  <c r="F199" i="2" s="1"/>
  <c r="D62" i="2"/>
  <c r="D242" i="2"/>
  <c r="E147" i="2"/>
  <c r="F62" i="2" l="1"/>
  <c r="E62" i="2"/>
  <c r="D63" i="2"/>
  <c r="E148" i="2"/>
  <c r="D243" i="2"/>
  <c r="D107" i="2"/>
  <c r="E27" i="3" s="1"/>
  <c r="D200" i="2"/>
  <c r="E200" i="2" s="1"/>
  <c r="F200" i="2" s="1"/>
  <c r="D294" i="2"/>
  <c r="F394" i="2"/>
  <c r="F63" i="2" l="1"/>
  <c r="E63" i="2"/>
  <c r="D64" i="2"/>
  <c r="E149" i="2"/>
  <c r="D244" i="2"/>
  <c r="D201" i="2"/>
  <c r="E201" i="2" s="1"/>
  <c r="F201" i="2" s="1"/>
  <c r="D295" i="2"/>
  <c r="F395" i="2"/>
  <c r="D108" i="2"/>
  <c r="E28" i="3" s="1"/>
  <c r="F64" i="2" l="1"/>
  <c r="E64" i="2"/>
  <c r="D202" i="2"/>
  <c r="E202" i="2" s="1"/>
  <c r="F202" i="2" s="1"/>
  <c r="F396" i="2"/>
  <c r="D296" i="2"/>
  <c r="D109" i="2"/>
  <c r="E29" i="3" s="1"/>
  <c r="I341" i="2"/>
  <c r="D65" i="2"/>
  <c r="E150" i="2"/>
  <c r="D245" i="2"/>
  <c r="E65" i="2" l="1"/>
  <c r="F65" i="2"/>
  <c r="D66" i="2"/>
  <c r="E151" i="2"/>
  <c r="F152" i="2" s="1"/>
  <c r="D246" i="2"/>
  <c r="D247" i="2" s="1"/>
  <c r="F397" i="2"/>
  <c r="D297" i="2"/>
  <c r="D203" i="2"/>
  <c r="E203" i="2" s="1"/>
  <c r="F203" i="2" s="1"/>
  <c r="D110" i="2"/>
  <c r="E30" i="3" s="1"/>
  <c r="F66" i="2" l="1"/>
  <c r="F67" i="2" s="1"/>
  <c r="E66" i="2"/>
  <c r="E67" i="2" s="1"/>
  <c r="F247" i="2"/>
  <c r="E247" i="2"/>
  <c r="C253" i="2" s="1"/>
  <c r="G247" i="2"/>
  <c r="C76" i="2" l="1"/>
  <c r="C77" i="2"/>
  <c r="C449" i="2"/>
  <c r="C345" i="2"/>
  <c r="C156" i="2"/>
  <c r="C251" i="2"/>
  <c r="C264" i="2" s="1"/>
  <c r="C155" i="2"/>
  <c r="C256" i="2" l="1"/>
  <c r="C257" i="2"/>
  <c r="C460" i="2"/>
  <c r="C461" i="2"/>
  <c r="E93" i="2"/>
  <c r="E94" i="2"/>
  <c r="D526" i="2" s="1"/>
  <c r="E526" i="2" s="1"/>
  <c r="E88" i="2"/>
  <c r="D520" i="2" s="1"/>
  <c r="E520" i="2" s="1"/>
  <c r="E87" i="2"/>
  <c r="D519" i="2" s="1"/>
  <c r="E519" i="2" s="1"/>
  <c r="E89" i="2"/>
  <c r="D521" i="2" s="1"/>
  <c r="E521" i="2" s="1"/>
  <c r="E90" i="2"/>
  <c r="D522" i="2" s="1"/>
  <c r="E522" i="2" s="1"/>
  <c r="E92" i="2"/>
  <c r="D524" i="2" s="1"/>
  <c r="E524" i="2" s="1"/>
  <c r="E91" i="2"/>
  <c r="D523" i="2" s="1"/>
  <c r="E523" i="2" s="1"/>
  <c r="C114" i="2"/>
  <c r="C118" i="2" s="1"/>
  <c r="E86" i="2"/>
  <c r="D518" i="2" s="1"/>
  <c r="E518" i="2" s="1"/>
  <c r="C361" i="2"/>
  <c r="C364" i="2" s="1"/>
  <c r="C360" i="2"/>
  <c r="C265" i="2"/>
  <c r="C301" i="2"/>
  <c r="C167" i="2"/>
  <c r="C168" i="2"/>
  <c r="C171" i="2" s="1"/>
  <c r="E95" i="2"/>
  <c r="D527" i="2" s="1"/>
  <c r="E527" i="2" s="1"/>
  <c r="E97" i="2"/>
  <c r="D529" i="2" s="1"/>
  <c r="E529" i="2" s="1"/>
  <c r="E96" i="2"/>
  <c r="D528" i="2" s="1"/>
  <c r="E528" i="2" s="1"/>
  <c r="E98" i="2"/>
  <c r="E99" i="2"/>
  <c r="E100" i="2"/>
  <c r="E20" i="3" s="1"/>
  <c r="D525" i="2"/>
  <c r="E525" i="2" s="1"/>
  <c r="G519" i="2" l="1"/>
  <c r="H519" i="2"/>
  <c r="F519" i="2"/>
  <c r="H518" i="2"/>
  <c r="G518" i="2"/>
  <c r="F518" i="2"/>
  <c r="C465" i="2"/>
  <c r="C464" i="2"/>
  <c r="C119" i="2"/>
  <c r="C365" i="2"/>
  <c r="C400" i="2" s="1"/>
  <c r="C300" i="2"/>
  <c r="C260" i="2"/>
  <c r="C261" i="2"/>
  <c r="C172" i="2"/>
  <c r="C209" i="2" s="1"/>
  <c r="C213" i="2" s="1"/>
  <c r="C207" i="2"/>
  <c r="E188" i="2" s="1"/>
  <c r="F188" i="2" s="1"/>
  <c r="I527" i="2" s="1"/>
  <c r="J527" i="2" s="1"/>
  <c r="H520" i="2"/>
  <c r="G520" i="2"/>
  <c r="F520" i="2"/>
  <c r="H521" i="2"/>
  <c r="F521" i="2"/>
  <c r="G521" i="2"/>
  <c r="H522" i="2"/>
  <c r="G522" i="2"/>
  <c r="F522" i="2"/>
  <c r="F524" i="2"/>
  <c r="H524" i="2"/>
  <c r="G524" i="2"/>
  <c r="G523" i="2"/>
  <c r="F523" i="2"/>
  <c r="H523" i="2"/>
  <c r="F525" i="2"/>
  <c r="G525" i="2"/>
  <c r="H525" i="2"/>
  <c r="F529" i="2"/>
  <c r="G529" i="2"/>
  <c r="H529" i="2"/>
  <c r="H528" i="2"/>
  <c r="G528" i="2"/>
  <c r="F528" i="2"/>
  <c r="H526" i="2"/>
  <c r="F526" i="2"/>
  <c r="G526" i="2"/>
  <c r="H527" i="2"/>
  <c r="F527" i="2"/>
  <c r="G527" i="2"/>
  <c r="E12" i="3"/>
  <c r="E18" i="3"/>
  <c r="E10" i="3"/>
  <c r="E17" i="3"/>
  <c r="E11" i="3"/>
  <c r="F27" i="3"/>
  <c r="F25" i="3"/>
  <c r="F28" i="3"/>
  <c r="F26" i="3"/>
  <c r="F29" i="3"/>
  <c r="F21" i="3"/>
  <c r="F22" i="3"/>
  <c r="F23" i="3"/>
  <c r="F30" i="3"/>
  <c r="F24" i="3"/>
  <c r="E8" i="3"/>
  <c r="H29" i="3"/>
  <c r="O29" i="3" s="1"/>
  <c r="H26" i="3"/>
  <c r="O26" i="3" s="1"/>
  <c r="H27" i="3"/>
  <c r="O27" i="3" s="1"/>
  <c r="H25" i="3"/>
  <c r="O25" i="3" s="1"/>
  <c r="H28" i="3"/>
  <c r="O28" i="3" s="1"/>
  <c r="H23" i="3"/>
  <c r="O23" i="3" s="1"/>
  <c r="H24" i="3"/>
  <c r="O24" i="3" s="1"/>
  <c r="H30" i="3"/>
  <c r="O30" i="3" s="1"/>
  <c r="H21" i="3"/>
  <c r="O21" i="3" s="1"/>
  <c r="H22" i="3"/>
  <c r="O22" i="3" s="1"/>
  <c r="E7" i="3"/>
  <c r="E14" i="3"/>
  <c r="E15" i="3"/>
  <c r="E19" i="3"/>
  <c r="E16" i="3"/>
  <c r="E6" i="3"/>
  <c r="G25" i="3"/>
  <c r="G26" i="3"/>
  <c r="G27" i="3"/>
  <c r="G28" i="3"/>
  <c r="G29" i="3"/>
  <c r="G30" i="3"/>
  <c r="G22" i="3"/>
  <c r="G23" i="3"/>
  <c r="G24" i="3"/>
  <c r="G21" i="3"/>
  <c r="E9" i="3"/>
  <c r="E13" i="3"/>
  <c r="E387" i="2" l="1"/>
  <c r="F387" i="2" s="1"/>
  <c r="H20" i="3" s="1"/>
  <c r="O20" i="3" s="1"/>
  <c r="E386" i="2"/>
  <c r="F386" i="2" s="1"/>
  <c r="E373" i="2"/>
  <c r="E381" i="2"/>
  <c r="F381" i="2" s="1"/>
  <c r="E374" i="2"/>
  <c r="F374" i="2" s="1"/>
  <c r="E382" i="2"/>
  <c r="E378" i="2"/>
  <c r="F378" i="2" s="1"/>
  <c r="E375" i="2"/>
  <c r="F375" i="2" s="1"/>
  <c r="E383" i="2"/>
  <c r="F383" i="2" s="1"/>
  <c r="S528" i="2" s="1"/>
  <c r="T528" i="2" s="1"/>
  <c r="E376" i="2"/>
  <c r="E384" i="2"/>
  <c r="F384" i="2" s="1"/>
  <c r="S529" i="2" s="1"/>
  <c r="T529" i="2" s="1"/>
  <c r="U529" i="2" s="1"/>
  <c r="E377" i="2"/>
  <c r="E385" i="2"/>
  <c r="F385" i="2" s="1"/>
  <c r="E379" i="2"/>
  <c r="F379" i="2" s="1"/>
  <c r="E380" i="2"/>
  <c r="F380" i="2" s="1"/>
  <c r="C406" i="2"/>
  <c r="C407" i="2"/>
  <c r="F377" i="2"/>
  <c r="E180" i="2"/>
  <c r="F180" i="2" s="1"/>
  <c r="I519" i="2" s="1"/>
  <c r="J519" i="2" s="1"/>
  <c r="L519" i="2" s="1"/>
  <c r="F376" i="2"/>
  <c r="F373" i="2"/>
  <c r="E186" i="2"/>
  <c r="F186" i="2" s="1"/>
  <c r="I525" i="2" s="1"/>
  <c r="J525" i="2" s="1"/>
  <c r="K525" i="2" s="1"/>
  <c r="E181" i="2"/>
  <c r="F181" i="2" s="1"/>
  <c r="I520" i="2" s="1"/>
  <c r="J520" i="2" s="1"/>
  <c r="L520" i="2" s="1"/>
  <c r="K519" i="2"/>
  <c r="E187" i="2"/>
  <c r="F187" i="2" s="1"/>
  <c r="I526" i="2" s="1"/>
  <c r="J526" i="2" s="1"/>
  <c r="L526" i="2" s="1"/>
  <c r="C499" i="2"/>
  <c r="E182" i="2"/>
  <c r="F182" i="2" s="1"/>
  <c r="I521" i="2" s="1"/>
  <c r="J521" i="2" s="1"/>
  <c r="L521" i="2" s="1"/>
  <c r="E184" i="2"/>
  <c r="F184" i="2" s="1"/>
  <c r="I523" i="2" s="1"/>
  <c r="J523" i="2" s="1"/>
  <c r="L523" i="2" s="1"/>
  <c r="E185" i="2"/>
  <c r="F185" i="2" s="1"/>
  <c r="I524" i="2" s="1"/>
  <c r="J524" i="2" s="1"/>
  <c r="K524" i="2" s="1"/>
  <c r="E183" i="2"/>
  <c r="F183" i="2" s="1"/>
  <c r="I522" i="2" s="1"/>
  <c r="J522" i="2" s="1"/>
  <c r="L522" i="2" s="1"/>
  <c r="E179" i="2"/>
  <c r="F179" i="2" s="1"/>
  <c r="I518" i="2" s="1"/>
  <c r="J518" i="2" s="1"/>
  <c r="F382" i="2"/>
  <c r="S527" i="2" s="1"/>
  <c r="T527" i="2" s="1"/>
  <c r="U527" i="2" s="1"/>
  <c r="C299" i="2"/>
  <c r="C214" i="2"/>
  <c r="E191" i="2"/>
  <c r="F191" i="2" s="1"/>
  <c r="F18" i="3" s="1"/>
  <c r="M18" i="3" s="1"/>
  <c r="E190" i="2"/>
  <c r="F190" i="2" s="1"/>
  <c r="I529" i="2" s="1"/>
  <c r="J529" i="2" s="1"/>
  <c r="K529" i="2" s="1"/>
  <c r="E189" i="2"/>
  <c r="F189" i="2" s="1"/>
  <c r="I528" i="2" s="1"/>
  <c r="J528" i="2" s="1"/>
  <c r="E193" i="2"/>
  <c r="F193" i="2" s="1"/>
  <c r="F20" i="3" s="1"/>
  <c r="E192" i="2"/>
  <c r="F192" i="2" s="1"/>
  <c r="F19" i="3" s="1"/>
  <c r="M19" i="3" s="1"/>
  <c r="L28" i="3"/>
  <c r="P28" i="3"/>
  <c r="Q28" i="3"/>
  <c r="M28" i="3"/>
  <c r="J28" i="3"/>
  <c r="Q30" i="3"/>
  <c r="L30" i="3"/>
  <c r="P30" i="3"/>
  <c r="J30" i="3"/>
  <c r="M30" i="3"/>
  <c r="R28" i="3"/>
  <c r="N28" i="3"/>
  <c r="K28" i="3"/>
  <c r="R30" i="3"/>
  <c r="N30" i="3"/>
  <c r="K30" i="3"/>
  <c r="R29" i="3"/>
  <c r="K29" i="3"/>
  <c r="N29" i="3"/>
  <c r="Q29" i="3"/>
  <c r="L29" i="3"/>
  <c r="P29" i="3"/>
  <c r="J29" i="3"/>
  <c r="M29" i="3"/>
  <c r="P26" i="3"/>
  <c r="Q26" i="3"/>
  <c r="L26" i="3"/>
  <c r="M26" i="3"/>
  <c r="J26" i="3"/>
  <c r="R22" i="3"/>
  <c r="N22" i="3"/>
  <c r="K22" i="3"/>
  <c r="Q24" i="3"/>
  <c r="P24" i="3"/>
  <c r="L24" i="3"/>
  <c r="M24" i="3"/>
  <c r="J24" i="3"/>
  <c r="P25" i="3"/>
  <c r="Q25" i="3"/>
  <c r="L25" i="3"/>
  <c r="M25" i="3"/>
  <c r="J25" i="3"/>
  <c r="R23" i="3"/>
  <c r="N23" i="3"/>
  <c r="K23" i="3"/>
  <c r="P27" i="3"/>
  <c r="Q27" i="3"/>
  <c r="L27" i="3"/>
  <c r="M27" i="3"/>
  <c r="J27" i="3"/>
  <c r="P23" i="3"/>
  <c r="Q23" i="3"/>
  <c r="L23" i="3"/>
  <c r="M23" i="3"/>
  <c r="J23" i="3"/>
  <c r="Q22" i="3"/>
  <c r="L22" i="3"/>
  <c r="P22" i="3"/>
  <c r="J22" i="3"/>
  <c r="M22" i="3"/>
  <c r="R27" i="3"/>
  <c r="K27" i="3"/>
  <c r="N27" i="3"/>
  <c r="Q21" i="3"/>
  <c r="L21" i="3"/>
  <c r="P21" i="3"/>
  <c r="J21" i="3"/>
  <c r="M21" i="3"/>
  <c r="R21" i="3"/>
  <c r="N21" i="3"/>
  <c r="K21" i="3"/>
  <c r="R26" i="3"/>
  <c r="K26" i="3"/>
  <c r="N26" i="3"/>
  <c r="R24" i="3"/>
  <c r="K24" i="3"/>
  <c r="N24" i="3"/>
  <c r="R25" i="3"/>
  <c r="K25" i="3"/>
  <c r="N25" i="3"/>
  <c r="M525" i="2"/>
  <c r="K527" i="2"/>
  <c r="L527" i="2"/>
  <c r="M527" i="2"/>
  <c r="W528" i="2"/>
  <c r="U528" i="2"/>
  <c r="V528" i="2"/>
  <c r="H19" i="3"/>
  <c r="O19" i="3" s="1"/>
  <c r="F15" i="3"/>
  <c r="E533" i="2"/>
  <c r="C544" i="2" s="1"/>
  <c r="F7" i="3" l="1"/>
  <c r="V529" i="2"/>
  <c r="M526" i="2"/>
  <c r="M519" i="2"/>
  <c r="F13" i="3"/>
  <c r="F8" i="3"/>
  <c r="M8" i="3" s="1"/>
  <c r="C505" i="2"/>
  <c r="C506" i="2"/>
  <c r="M520" i="2"/>
  <c r="K520" i="2"/>
  <c r="E273" i="2"/>
  <c r="E274" i="2"/>
  <c r="N519" i="2" s="1"/>
  <c r="O519" i="2" s="1"/>
  <c r="E276" i="2"/>
  <c r="E275" i="2"/>
  <c r="E277" i="2"/>
  <c r="E278" i="2"/>
  <c r="W527" i="2"/>
  <c r="E285" i="2"/>
  <c r="G18" i="3" s="1"/>
  <c r="P18" i="3" s="1"/>
  <c r="E286" i="2"/>
  <c r="G19" i="3" s="1"/>
  <c r="R19" i="3" s="1"/>
  <c r="E287" i="2"/>
  <c r="G20" i="3" s="1"/>
  <c r="I20" i="3" s="1"/>
  <c r="M20" i="3"/>
  <c r="V527" i="2"/>
  <c r="E279" i="2"/>
  <c r="E280" i="2"/>
  <c r="E281" i="2"/>
  <c r="E282" i="2"/>
  <c r="E283" i="2"/>
  <c r="E284" i="2"/>
  <c r="F10" i="3"/>
  <c r="C411" i="2"/>
  <c r="C410" i="2"/>
  <c r="C545" i="2"/>
  <c r="L525" i="2"/>
  <c r="F9" i="3"/>
  <c r="M9" i="3" s="1"/>
  <c r="F11" i="3"/>
  <c r="M521" i="2"/>
  <c r="E472" i="2"/>
  <c r="F472" i="2" s="1"/>
  <c r="E478" i="2"/>
  <c r="F478" i="2" s="1"/>
  <c r="E476" i="2"/>
  <c r="F476" i="2" s="1"/>
  <c r="E477" i="2"/>
  <c r="F477" i="2" s="1"/>
  <c r="E479" i="2"/>
  <c r="F479" i="2" s="1"/>
  <c r="E480" i="2"/>
  <c r="F480" i="2" s="1"/>
  <c r="E482" i="2"/>
  <c r="F482" i="2" s="1"/>
  <c r="H16" i="3" s="1"/>
  <c r="O16" i="3" s="1"/>
  <c r="E475" i="2"/>
  <c r="F475" i="2" s="1"/>
  <c r="E484" i="2"/>
  <c r="F484" i="2" s="1"/>
  <c r="H18" i="3" s="1"/>
  <c r="O18" i="3" s="1"/>
  <c r="E473" i="2"/>
  <c r="F473" i="2" s="1"/>
  <c r="E481" i="2"/>
  <c r="F481" i="2" s="1"/>
  <c r="H15" i="3" s="1"/>
  <c r="O15" i="3" s="1"/>
  <c r="E474" i="2"/>
  <c r="F474" i="2" s="1"/>
  <c r="E483" i="2"/>
  <c r="F483" i="2" s="1"/>
  <c r="H17" i="3" s="1"/>
  <c r="O17" i="3" s="1"/>
  <c r="F12" i="3"/>
  <c r="M524" i="2"/>
  <c r="M523" i="2"/>
  <c r="K523" i="2"/>
  <c r="M518" i="2"/>
  <c r="L518" i="2"/>
  <c r="K518" i="2"/>
  <c r="F14" i="3"/>
  <c r="K526" i="2"/>
  <c r="K521" i="2"/>
  <c r="L524" i="2"/>
  <c r="M522" i="2"/>
  <c r="K522" i="2"/>
  <c r="F6" i="3"/>
  <c r="N518" i="2"/>
  <c r="O518" i="2" s="1"/>
  <c r="W529" i="2"/>
  <c r="N529" i="2"/>
  <c r="O529" i="2" s="1"/>
  <c r="F17" i="3"/>
  <c r="M529" i="2"/>
  <c r="L529" i="2"/>
  <c r="C305" i="2"/>
  <c r="C306" i="2"/>
  <c r="L528" i="2"/>
  <c r="M528" i="2"/>
  <c r="F16" i="3"/>
  <c r="K528" i="2"/>
  <c r="M7" i="3"/>
  <c r="M11" i="3"/>
  <c r="M13" i="3"/>
  <c r="M15" i="3"/>
  <c r="Q20" i="3"/>
  <c r="Q19" i="3"/>
  <c r="E534" i="2"/>
  <c r="E31" i="3" s="1"/>
  <c r="J533" i="2"/>
  <c r="J534" i="2" s="1"/>
  <c r="F31" i="3" s="1"/>
  <c r="H533" i="2"/>
  <c r="F533" i="2"/>
  <c r="G533" i="2"/>
  <c r="C552" i="2" s="1"/>
  <c r="AR527" i="2" l="1"/>
  <c r="AS527" i="2" s="1"/>
  <c r="AV527" i="2" s="1"/>
  <c r="M6" i="3"/>
  <c r="M10" i="3"/>
  <c r="I19" i="3"/>
  <c r="I18" i="3"/>
  <c r="N19" i="3"/>
  <c r="P19" i="3"/>
  <c r="M12" i="3"/>
  <c r="C553" i="2"/>
  <c r="M17" i="3"/>
  <c r="AR529" i="2" s="1"/>
  <c r="AS529" i="2" s="1"/>
  <c r="AT529" i="2" s="1"/>
  <c r="M14" i="3"/>
  <c r="C549" i="2"/>
  <c r="C548" i="2"/>
  <c r="C556" i="2"/>
  <c r="C557" i="2"/>
  <c r="C510" i="2"/>
  <c r="C509" i="2"/>
  <c r="R18" i="3"/>
  <c r="Q18" i="3"/>
  <c r="Q518" i="2"/>
  <c r="P518" i="2"/>
  <c r="R518" i="2"/>
  <c r="Q519" i="2"/>
  <c r="P519" i="2"/>
  <c r="R519" i="2"/>
  <c r="H6" i="3"/>
  <c r="O6" i="3" s="1"/>
  <c r="S518" i="2"/>
  <c r="T518" i="2" s="1"/>
  <c r="Q16" i="3"/>
  <c r="N18" i="3"/>
  <c r="S522" i="2"/>
  <c r="T522" i="2" s="1"/>
  <c r="H10" i="3"/>
  <c r="H8" i="3"/>
  <c r="S520" i="2"/>
  <c r="T520" i="2" s="1"/>
  <c r="S526" i="2"/>
  <c r="T526" i="2" s="1"/>
  <c r="H14" i="3"/>
  <c r="S523" i="2"/>
  <c r="T523" i="2" s="1"/>
  <c r="H11" i="3"/>
  <c r="S525" i="2"/>
  <c r="T525" i="2" s="1"/>
  <c r="H13" i="3"/>
  <c r="S521" i="2"/>
  <c r="T521" i="2" s="1"/>
  <c r="H9" i="3"/>
  <c r="S524" i="2"/>
  <c r="T524" i="2" s="1"/>
  <c r="H12" i="3"/>
  <c r="J18" i="3"/>
  <c r="L18" i="3"/>
  <c r="K18" i="3"/>
  <c r="Q15" i="3"/>
  <c r="Q17" i="3"/>
  <c r="N526" i="2"/>
  <c r="O526" i="2" s="1"/>
  <c r="G14" i="3"/>
  <c r="N525" i="2"/>
  <c r="O525" i="2" s="1"/>
  <c r="G13" i="3"/>
  <c r="N524" i="2"/>
  <c r="O524" i="2" s="1"/>
  <c r="G12" i="3"/>
  <c r="N522" i="2"/>
  <c r="O522" i="2" s="1"/>
  <c r="G10" i="3"/>
  <c r="N520" i="2"/>
  <c r="O520" i="2" s="1"/>
  <c r="G8" i="3"/>
  <c r="N521" i="2"/>
  <c r="O521" i="2" s="1"/>
  <c r="G9" i="3"/>
  <c r="N523" i="2"/>
  <c r="O523" i="2" s="1"/>
  <c r="G11" i="3"/>
  <c r="G7" i="3"/>
  <c r="G6" i="3"/>
  <c r="L6" i="3" s="1"/>
  <c r="R20" i="3"/>
  <c r="L19" i="3"/>
  <c r="J19" i="3"/>
  <c r="K19" i="3"/>
  <c r="K20" i="3"/>
  <c r="Q529" i="2"/>
  <c r="R529" i="2"/>
  <c r="P529" i="2"/>
  <c r="J20" i="3"/>
  <c r="L20" i="3"/>
  <c r="N20" i="3"/>
  <c r="P20" i="3"/>
  <c r="G17" i="3"/>
  <c r="K17" i="3" s="1"/>
  <c r="AH529" i="2" s="1"/>
  <c r="M16" i="3"/>
  <c r="AR528" i="2" s="1"/>
  <c r="AS528" i="2" s="1"/>
  <c r="AV528" i="2" s="1"/>
  <c r="N528" i="2"/>
  <c r="O528" i="2" s="1"/>
  <c r="G16" i="3"/>
  <c r="I16" i="3" s="1"/>
  <c r="G15" i="3"/>
  <c r="N15" i="3" s="1"/>
  <c r="N527" i="2"/>
  <c r="O527" i="2" s="1"/>
  <c r="AT527" i="2"/>
  <c r="AU527" i="2"/>
  <c r="M533" i="2"/>
  <c r="M537" i="2" s="1"/>
  <c r="F34" i="3" s="1"/>
  <c r="K533" i="2"/>
  <c r="K535" i="2" s="1"/>
  <c r="F32" i="3" s="1"/>
  <c r="L533" i="2"/>
  <c r="L536" i="2" s="1"/>
  <c r="F33" i="3" s="1"/>
  <c r="H537" i="2"/>
  <c r="E34" i="3" s="1"/>
  <c r="G536" i="2"/>
  <c r="E33" i="3" s="1"/>
  <c r="F535" i="2"/>
  <c r="E32" i="3" s="1"/>
  <c r="I10" i="3" l="1"/>
  <c r="I8" i="3"/>
  <c r="I9" i="3"/>
  <c r="I11" i="3"/>
  <c r="I6" i="3"/>
  <c r="AU529" i="2"/>
  <c r="AV529" i="2"/>
  <c r="I12" i="3"/>
  <c r="X524" i="2" s="1"/>
  <c r="Y524" i="2" s="1"/>
  <c r="I14" i="3"/>
  <c r="X526" i="2" s="1"/>
  <c r="Y526" i="2" s="1"/>
  <c r="I17" i="3"/>
  <c r="X529" i="2" s="1"/>
  <c r="Y529" i="2" s="1"/>
  <c r="I13" i="3"/>
  <c r="X525" i="2" s="1"/>
  <c r="Y525" i="2" s="1"/>
  <c r="I15" i="3"/>
  <c r="Q6" i="3"/>
  <c r="U518" i="2"/>
  <c r="V518" i="2"/>
  <c r="W518" i="2"/>
  <c r="H7" i="3"/>
  <c r="S519" i="2"/>
  <c r="T519" i="2" s="1"/>
  <c r="T533" i="2" s="1"/>
  <c r="T534" i="2" s="1"/>
  <c r="H31" i="3" s="1"/>
  <c r="W521" i="2"/>
  <c r="U521" i="2"/>
  <c r="V521" i="2"/>
  <c r="AR521" i="2" s="1"/>
  <c r="AS521" i="2" s="1"/>
  <c r="V526" i="2"/>
  <c r="AR526" i="2" s="1"/>
  <c r="AS526" i="2" s="1"/>
  <c r="U526" i="2"/>
  <c r="W526" i="2"/>
  <c r="O13" i="3"/>
  <c r="Q13" i="3"/>
  <c r="W520" i="2"/>
  <c r="U520" i="2"/>
  <c r="V520" i="2"/>
  <c r="AR520" i="2" s="1"/>
  <c r="V525" i="2"/>
  <c r="AR525" i="2" s="1"/>
  <c r="AS525" i="2" s="1"/>
  <c r="U525" i="2"/>
  <c r="W525" i="2"/>
  <c r="O8" i="3"/>
  <c r="Q8" i="3"/>
  <c r="O11" i="3"/>
  <c r="Q11" i="3"/>
  <c r="O10" i="3"/>
  <c r="Q10" i="3"/>
  <c r="O12" i="3"/>
  <c r="Q12" i="3"/>
  <c r="V523" i="2"/>
  <c r="AR523" i="2" s="1"/>
  <c r="AS523" i="2" s="1"/>
  <c r="U523" i="2"/>
  <c r="W523" i="2"/>
  <c r="W522" i="2"/>
  <c r="V522" i="2"/>
  <c r="AR522" i="2" s="1"/>
  <c r="AS522" i="2" s="1"/>
  <c r="U522" i="2"/>
  <c r="V524" i="2"/>
  <c r="AR524" i="2" s="1"/>
  <c r="AS524" i="2" s="1"/>
  <c r="W524" i="2"/>
  <c r="U524" i="2"/>
  <c r="O9" i="3"/>
  <c r="Q9" i="3"/>
  <c r="O14" i="3"/>
  <c r="Q14" i="3"/>
  <c r="Q523" i="2"/>
  <c r="R523" i="2"/>
  <c r="P523" i="2"/>
  <c r="P524" i="2"/>
  <c r="Q524" i="2"/>
  <c r="R524" i="2"/>
  <c r="R13" i="3"/>
  <c r="K13" i="3"/>
  <c r="AH525" i="2" s="1"/>
  <c r="P13" i="3"/>
  <c r="L13" i="3"/>
  <c r="N13" i="3"/>
  <c r="J13" i="3"/>
  <c r="AC525" i="2" s="1"/>
  <c r="AD525" i="2" s="1"/>
  <c r="R525" i="2"/>
  <c r="P525" i="2"/>
  <c r="Q525" i="2"/>
  <c r="N14" i="3"/>
  <c r="K14" i="3"/>
  <c r="AH526" i="2" s="1"/>
  <c r="R14" i="3"/>
  <c r="L14" i="3"/>
  <c r="J14" i="3"/>
  <c r="AC526" i="2" s="1"/>
  <c r="AD526" i="2" s="1"/>
  <c r="P14" i="3"/>
  <c r="P526" i="2"/>
  <c r="Q526" i="2"/>
  <c r="R526" i="2"/>
  <c r="AM518" i="2"/>
  <c r="AN518" i="2" s="1"/>
  <c r="X518" i="2"/>
  <c r="Y518" i="2" s="1"/>
  <c r="K6" i="3"/>
  <c r="AH518" i="2" s="1"/>
  <c r="J6" i="3"/>
  <c r="AC518" i="2" s="1"/>
  <c r="AD518" i="2" s="1"/>
  <c r="P6" i="3"/>
  <c r="R521" i="2"/>
  <c r="Q521" i="2"/>
  <c r="P521" i="2"/>
  <c r="K8" i="3"/>
  <c r="AH520" i="2" s="1"/>
  <c r="N8" i="3"/>
  <c r="L8" i="3"/>
  <c r="J8" i="3"/>
  <c r="P8" i="3"/>
  <c r="R8" i="3"/>
  <c r="J7" i="3"/>
  <c r="AC519" i="2" s="1"/>
  <c r="AD519" i="2" s="1"/>
  <c r="P7" i="3"/>
  <c r="N7" i="3"/>
  <c r="Q520" i="2"/>
  <c r="P520" i="2"/>
  <c r="R520" i="2"/>
  <c r="P10" i="3"/>
  <c r="X522" i="2"/>
  <c r="Y522" i="2" s="1"/>
  <c r="N10" i="3"/>
  <c r="R10" i="3"/>
  <c r="J10" i="3"/>
  <c r="AC522" i="2" s="1"/>
  <c r="AD522" i="2" s="1"/>
  <c r="L10" i="3"/>
  <c r="K10" i="3"/>
  <c r="AH522" i="2" s="1"/>
  <c r="N11" i="3"/>
  <c r="L11" i="3"/>
  <c r="K11" i="3"/>
  <c r="AH523" i="2" s="1"/>
  <c r="X523" i="2"/>
  <c r="Y523" i="2" s="1"/>
  <c r="J11" i="3"/>
  <c r="AC523" i="2" s="1"/>
  <c r="AD523" i="2" s="1"/>
  <c r="R11" i="3"/>
  <c r="P11" i="3"/>
  <c r="R522" i="2"/>
  <c r="P522" i="2"/>
  <c r="Q522" i="2"/>
  <c r="P12" i="3"/>
  <c r="K12" i="3"/>
  <c r="AH524" i="2" s="1"/>
  <c r="N12" i="3"/>
  <c r="L12" i="3"/>
  <c r="J12" i="3"/>
  <c r="AC524" i="2" s="1"/>
  <c r="AD524" i="2" s="1"/>
  <c r="R12" i="3"/>
  <c r="N9" i="3"/>
  <c r="X521" i="2"/>
  <c r="Y521" i="2" s="1"/>
  <c r="K9" i="3"/>
  <c r="AH521" i="2" s="1"/>
  <c r="P9" i="3"/>
  <c r="J9" i="3"/>
  <c r="AC521" i="2" s="1"/>
  <c r="AD521" i="2" s="1"/>
  <c r="L9" i="3"/>
  <c r="R9" i="3"/>
  <c r="N6" i="3"/>
  <c r="R6" i="3"/>
  <c r="P17" i="3"/>
  <c r="L17" i="3"/>
  <c r="AM529" i="2" s="1"/>
  <c r="AN529" i="2" s="1"/>
  <c r="AO529" i="2" s="1"/>
  <c r="N17" i="3"/>
  <c r="J17" i="3"/>
  <c r="AC529" i="2" s="1"/>
  <c r="AD529" i="2" s="1"/>
  <c r="R17" i="3"/>
  <c r="BQ529" i="2" s="1"/>
  <c r="BR529" i="2" s="1"/>
  <c r="AT528" i="2"/>
  <c r="AU528" i="2"/>
  <c r="J15" i="3"/>
  <c r="AC527" i="2" s="1"/>
  <c r="AD527" i="2" s="1"/>
  <c r="AF527" i="2" s="1"/>
  <c r="BB527" i="2" s="1"/>
  <c r="X527" i="2"/>
  <c r="Y527" i="2" s="1"/>
  <c r="AA527" i="2" s="1"/>
  <c r="AW527" i="2" s="1"/>
  <c r="AX527" i="2" s="1"/>
  <c r="AY527" i="2" s="1"/>
  <c r="O533" i="2"/>
  <c r="O534" i="2" s="1"/>
  <c r="G31" i="3" s="1"/>
  <c r="L15" i="3"/>
  <c r="P15" i="3"/>
  <c r="K15" i="3"/>
  <c r="AH527" i="2" s="1"/>
  <c r="R15" i="3"/>
  <c r="BQ527" i="2" s="1"/>
  <c r="BR527" i="2" s="1"/>
  <c r="P527" i="2"/>
  <c r="R527" i="2"/>
  <c r="Q527" i="2"/>
  <c r="N16" i="3"/>
  <c r="J16" i="3"/>
  <c r="AC528" i="2" s="1"/>
  <c r="AD528" i="2" s="1"/>
  <c r="P16" i="3"/>
  <c r="K16" i="3"/>
  <c r="AH528" i="2" s="1"/>
  <c r="R16" i="3"/>
  <c r="L16" i="3"/>
  <c r="X528" i="2"/>
  <c r="Y528" i="2" s="1"/>
  <c r="P528" i="2"/>
  <c r="Q528" i="2"/>
  <c r="R528" i="2"/>
  <c r="I7" i="3" l="1"/>
  <c r="X519" i="2" s="1"/>
  <c r="Y519" i="2" s="1"/>
  <c r="AZ527" i="2"/>
  <c r="K7" i="3"/>
  <c r="AH519" i="2" s="1"/>
  <c r="AI519" i="2" s="1"/>
  <c r="L7" i="3"/>
  <c r="AM519" i="2" s="1"/>
  <c r="AN519" i="2" s="1"/>
  <c r="AP519" i="2" s="1"/>
  <c r="Q7" i="3"/>
  <c r="AO518" i="2"/>
  <c r="AP518" i="2"/>
  <c r="AQ518" i="2"/>
  <c r="AA518" i="2"/>
  <c r="AB518" i="2"/>
  <c r="Z518" i="2"/>
  <c r="O7" i="3"/>
  <c r="AR518" i="2"/>
  <c r="AS518" i="2" s="1"/>
  <c r="AM520" i="2"/>
  <c r="AN520" i="2" s="1"/>
  <c r="R7" i="3"/>
  <c r="X520" i="2"/>
  <c r="Y520" i="2" s="1"/>
  <c r="AE519" i="2"/>
  <c r="AG519" i="2"/>
  <c r="AF519" i="2"/>
  <c r="AC520" i="2"/>
  <c r="AD520" i="2" s="1"/>
  <c r="AF520" i="2" s="1"/>
  <c r="BB520" i="2" s="1"/>
  <c r="AE518" i="2"/>
  <c r="AF518" i="2"/>
  <c r="AG518" i="2"/>
  <c r="AI518" i="2"/>
  <c r="V519" i="2"/>
  <c r="W519" i="2"/>
  <c r="W533" i="2" s="1"/>
  <c r="W537" i="2" s="1"/>
  <c r="H34" i="3" s="1"/>
  <c r="U519" i="2"/>
  <c r="U533" i="2" s="1"/>
  <c r="U535" i="2" s="1"/>
  <c r="H32" i="3" s="1"/>
  <c r="AU523" i="2"/>
  <c r="BQ523" i="2" s="1"/>
  <c r="BR523" i="2" s="1"/>
  <c r="BU523" i="2" s="1"/>
  <c r="AT523" i="2"/>
  <c r="AV523" i="2"/>
  <c r="AV524" i="2"/>
  <c r="AU524" i="2"/>
  <c r="BQ524" i="2" s="1"/>
  <c r="BR524" i="2" s="1"/>
  <c r="AT524" i="2"/>
  <c r="AV525" i="2"/>
  <c r="AU525" i="2"/>
  <c r="BQ525" i="2" s="1"/>
  <c r="BR525" i="2" s="1"/>
  <c r="AT525" i="2"/>
  <c r="AU522" i="2"/>
  <c r="BQ522" i="2" s="1"/>
  <c r="BR522" i="2" s="1"/>
  <c r="AT522" i="2"/>
  <c r="AV522" i="2"/>
  <c r="AS520" i="2"/>
  <c r="V533" i="2"/>
  <c r="V536" i="2" s="1"/>
  <c r="H33" i="3" s="1"/>
  <c r="AV526" i="2"/>
  <c r="AT526" i="2"/>
  <c r="AU526" i="2"/>
  <c r="BQ526" i="2" s="1"/>
  <c r="BR526" i="2" s="1"/>
  <c r="AT521" i="2"/>
  <c r="AU521" i="2"/>
  <c r="BQ521" i="2" s="1"/>
  <c r="BR521" i="2" s="1"/>
  <c r="AV521" i="2"/>
  <c r="AM525" i="2"/>
  <c r="AN525" i="2" s="1"/>
  <c r="AB524" i="2"/>
  <c r="AA524" i="2"/>
  <c r="AW524" i="2" s="1"/>
  <c r="AX524" i="2" s="1"/>
  <c r="Z524" i="2"/>
  <c r="AF525" i="2"/>
  <c r="BB525" i="2" s="1"/>
  <c r="AG525" i="2"/>
  <c r="AI525" i="2"/>
  <c r="AE525" i="2"/>
  <c r="AG523" i="2"/>
  <c r="AF523" i="2"/>
  <c r="BB523" i="2" s="1"/>
  <c r="AA526" i="2"/>
  <c r="AW526" i="2" s="1"/>
  <c r="AX526" i="2" s="1"/>
  <c r="AB526" i="2"/>
  <c r="Z526" i="2"/>
  <c r="AM524" i="2"/>
  <c r="AN524" i="2" s="1"/>
  <c r="AB523" i="2"/>
  <c r="Z523" i="2"/>
  <c r="AA523" i="2"/>
  <c r="AW523" i="2" s="1"/>
  <c r="AX523" i="2" s="1"/>
  <c r="AM521" i="2"/>
  <c r="AN521" i="2" s="1"/>
  <c r="AP521" i="2" s="1"/>
  <c r="BL521" i="2" s="1"/>
  <c r="AM526" i="2"/>
  <c r="AN526" i="2" s="1"/>
  <c r="AI524" i="2"/>
  <c r="AF524" i="2"/>
  <c r="BB524" i="2" s="1"/>
  <c r="AG524" i="2"/>
  <c r="AE524" i="2"/>
  <c r="AM522" i="2"/>
  <c r="AN522" i="2" s="1"/>
  <c r="AG526" i="2"/>
  <c r="AE526" i="2"/>
  <c r="AI526" i="2"/>
  <c r="AF526" i="2"/>
  <c r="BB526" i="2" s="1"/>
  <c r="AB525" i="2"/>
  <c r="AA525" i="2"/>
  <c r="AW525" i="2" s="1"/>
  <c r="AX525" i="2" s="1"/>
  <c r="Z525" i="2"/>
  <c r="AM523" i="2"/>
  <c r="AN523" i="2" s="1"/>
  <c r="Z521" i="2"/>
  <c r="AA521" i="2"/>
  <c r="AW521" i="2" s="1"/>
  <c r="AX521" i="2" s="1"/>
  <c r="AB521" i="2"/>
  <c r="AI522" i="2"/>
  <c r="AF522" i="2"/>
  <c r="BB522" i="2" s="1"/>
  <c r="AE522" i="2"/>
  <c r="AG522" i="2"/>
  <c r="AF521" i="2"/>
  <c r="BB521" i="2" s="1"/>
  <c r="AG521" i="2"/>
  <c r="AE521" i="2"/>
  <c r="AI521" i="2"/>
  <c r="AE523" i="2"/>
  <c r="AI523" i="2"/>
  <c r="AA522" i="2"/>
  <c r="AW522" i="2" s="1"/>
  <c r="AX522" i="2" s="1"/>
  <c r="Z522" i="2"/>
  <c r="AB522" i="2"/>
  <c r="AP529" i="2"/>
  <c r="BL529" i="2" s="1"/>
  <c r="AQ529" i="2"/>
  <c r="BA527" i="2"/>
  <c r="BQ528" i="2"/>
  <c r="BR528" i="2" s="1"/>
  <c r="BT528" i="2" s="1"/>
  <c r="AA529" i="2"/>
  <c r="AW529" i="2" s="1"/>
  <c r="AX529" i="2" s="1"/>
  <c r="Z529" i="2"/>
  <c r="AB529" i="2"/>
  <c r="BT529" i="2"/>
  <c r="BU529" i="2"/>
  <c r="BS529" i="2"/>
  <c r="AI527" i="2"/>
  <c r="AJ527" i="2" s="1"/>
  <c r="AI529" i="2"/>
  <c r="AE529" i="2"/>
  <c r="AG529" i="2"/>
  <c r="AF529" i="2"/>
  <c r="BB529" i="2" s="1"/>
  <c r="AM527" i="2"/>
  <c r="AN527" i="2" s="1"/>
  <c r="AP527" i="2" s="1"/>
  <c r="BL527" i="2" s="1"/>
  <c r="BC527" i="2"/>
  <c r="BD527" i="2" s="1"/>
  <c r="R533" i="2"/>
  <c r="R537" i="2" s="1"/>
  <c r="G34" i="3" s="1"/>
  <c r="AE527" i="2"/>
  <c r="AG527" i="2"/>
  <c r="AB527" i="2"/>
  <c r="Z527" i="2"/>
  <c r="P533" i="2"/>
  <c r="P535" i="2" s="1"/>
  <c r="G32" i="3" s="1"/>
  <c r="BT527" i="2"/>
  <c r="BS527" i="2"/>
  <c r="BU527" i="2"/>
  <c r="Q533" i="2"/>
  <c r="Q536" i="2" s="1"/>
  <c r="G33" i="3" s="1"/>
  <c r="AM528" i="2"/>
  <c r="AN528" i="2" s="1"/>
  <c r="AG528" i="2"/>
  <c r="AI528" i="2"/>
  <c r="AE528" i="2"/>
  <c r="AF528" i="2"/>
  <c r="AB528" i="2"/>
  <c r="AA528" i="2"/>
  <c r="Z528" i="2"/>
  <c r="BL519" i="2" l="1"/>
  <c r="AB519" i="2"/>
  <c r="AA519" i="2"/>
  <c r="AW519" i="2" s="1"/>
  <c r="AX519" i="2" s="1"/>
  <c r="Z519" i="2"/>
  <c r="AO519" i="2"/>
  <c r="AQ519" i="2"/>
  <c r="AU518" i="2"/>
  <c r="AT518" i="2"/>
  <c r="AV518" i="2"/>
  <c r="AB520" i="2"/>
  <c r="Z520" i="2"/>
  <c r="Y533" i="2"/>
  <c r="Y534" i="2" s="1"/>
  <c r="I31" i="3" s="1"/>
  <c r="AA520" i="2"/>
  <c r="BB519" i="2"/>
  <c r="AL518" i="2"/>
  <c r="AJ518" i="2"/>
  <c r="AK518" i="2"/>
  <c r="AL519" i="2"/>
  <c r="AK519" i="2"/>
  <c r="AJ519" i="2"/>
  <c r="AE520" i="2"/>
  <c r="AE533" i="2" s="1"/>
  <c r="AE535" i="2" s="1"/>
  <c r="J32" i="3" s="1"/>
  <c r="AG520" i="2"/>
  <c r="AG533" i="2" s="1"/>
  <c r="AG537" i="2" s="1"/>
  <c r="J34" i="3" s="1"/>
  <c r="BB518" i="2"/>
  <c r="AI520" i="2"/>
  <c r="AL520" i="2" s="1"/>
  <c r="AW518" i="2"/>
  <c r="AX518" i="2" s="1"/>
  <c r="BL518" i="2"/>
  <c r="AD533" i="2"/>
  <c r="AD534" i="2" s="1"/>
  <c r="J31" i="3" s="1"/>
  <c r="AR519" i="2"/>
  <c r="AS519" i="2" s="1"/>
  <c r="BT523" i="2"/>
  <c r="BS523" i="2"/>
  <c r="BU524" i="2"/>
  <c r="BT524" i="2"/>
  <c r="BS524" i="2"/>
  <c r="BU521" i="2"/>
  <c r="BS521" i="2"/>
  <c r="BT521" i="2"/>
  <c r="BU522" i="2"/>
  <c r="BT522" i="2"/>
  <c r="BS522" i="2"/>
  <c r="BS526" i="2"/>
  <c r="BT526" i="2"/>
  <c r="BU526" i="2"/>
  <c r="BT525" i="2"/>
  <c r="BU525" i="2"/>
  <c r="BS525" i="2"/>
  <c r="AV520" i="2"/>
  <c r="AU520" i="2"/>
  <c r="BQ520" i="2" s="1"/>
  <c r="AT520" i="2"/>
  <c r="AO521" i="2"/>
  <c r="AQ521" i="2"/>
  <c r="AP525" i="2"/>
  <c r="BL525" i="2" s="1"/>
  <c r="AQ525" i="2"/>
  <c r="AO525" i="2"/>
  <c r="AQ520" i="2"/>
  <c r="AO520" i="2"/>
  <c r="AP520" i="2"/>
  <c r="BL520" i="2" s="1"/>
  <c r="AP523" i="2"/>
  <c r="BL523" i="2" s="1"/>
  <c r="AO523" i="2"/>
  <c r="AQ523" i="2"/>
  <c r="AP522" i="2"/>
  <c r="BL522" i="2" s="1"/>
  <c r="AQ522" i="2"/>
  <c r="AO522" i="2"/>
  <c r="AY525" i="2"/>
  <c r="AZ525" i="2"/>
  <c r="BC525" i="2"/>
  <c r="BA525" i="2"/>
  <c r="AK525" i="2"/>
  <c r="BG525" i="2" s="1"/>
  <c r="BH525" i="2" s="1"/>
  <c r="AL525" i="2"/>
  <c r="AJ525" i="2"/>
  <c r="BC524" i="2"/>
  <c r="AY524" i="2"/>
  <c r="BA524" i="2"/>
  <c r="AZ524" i="2"/>
  <c r="AO524" i="2"/>
  <c r="AQ524" i="2"/>
  <c r="AP524" i="2"/>
  <c r="BL524" i="2" s="1"/>
  <c r="AK524" i="2"/>
  <c r="BG524" i="2" s="1"/>
  <c r="BH524" i="2" s="1"/>
  <c r="AL524" i="2"/>
  <c r="AJ524" i="2"/>
  <c r="AL523" i="2"/>
  <c r="AK523" i="2"/>
  <c r="BG523" i="2" s="1"/>
  <c r="BH523" i="2" s="1"/>
  <c r="AJ523" i="2"/>
  <c r="AK526" i="2"/>
  <c r="BG526" i="2" s="1"/>
  <c r="BH526" i="2" s="1"/>
  <c r="AJ526" i="2"/>
  <c r="AL526" i="2"/>
  <c r="AP526" i="2"/>
  <c r="BL526" i="2" s="1"/>
  <c r="AQ526" i="2"/>
  <c r="AO526" i="2"/>
  <c r="AZ523" i="2"/>
  <c r="AY523" i="2"/>
  <c r="BC523" i="2"/>
  <c r="BA523" i="2"/>
  <c r="AY526" i="2"/>
  <c r="BC526" i="2"/>
  <c r="BA526" i="2"/>
  <c r="AZ526" i="2"/>
  <c r="AK521" i="2"/>
  <c r="BG521" i="2" s="1"/>
  <c r="BH521" i="2" s="1"/>
  <c r="AJ521" i="2"/>
  <c r="AL521" i="2"/>
  <c r="AZ522" i="2"/>
  <c r="AY522" i="2"/>
  <c r="BA522" i="2"/>
  <c r="BC522" i="2"/>
  <c r="AJ522" i="2"/>
  <c r="AK522" i="2"/>
  <c r="BG522" i="2" s="1"/>
  <c r="BH522" i="2" s="1"/>
  <c r="AL522" i="2"/>
  <c r="BC521" i="2"/>
  <c r="BA521" i="2"/>
  <c r="AZ521" i="2"/>
  <c r="AY521" i="2"/>
  <c r="AK520" i="2"/>
  <c r="BS528" i="2"/>
  <c r="BF527" i="2"/>
  <c r="BE527" i="2"/>
  <c r="BC529" i="2"/>
  <c r="BF529" i="2" s="1"/>
  <c r="BU528" i="2"/>
  <c r="AL527" i="2"/>
  <c r="AK527" i="2"/>
  <c r="BG527" i="2" s="1"/>
  <c r="BH527" i="2" s="1"/>
  <c r="BK527" i="2" s="1"/>
  <c r="AZ529" i="2"/>
  <c r="AY529" i="2"/>
  <c r="BA529" i="2"/>
  <c r="AK529" i="2"/>
  <c r="BG529" i="2" s="1"/>
  <c r="BH529" i="2" s="1"/>
  <c r="AL529" i="2"/>
  <c r="AJ529" i="2"/>
  <c r="AO527" i="2"/>
  <c r="AQ527" i="2"/>
  <c r="AB533" i="2"/>
  <c r="AB537" i="2" s="1"/>
  <c r="I34" i="3" s="1"/>
  <c r="AQ528" i="2"/>
  <c r="AO528" i="2"/>
  <c r="AP528" i="2"/>
  <c r="AN533" i="2"/>
  <c r="AN534" i="2" s="1"/>
  <c r="L31" i="3" s="1"/>
  <c r="BB528" i="2"/>
  <c r="AF533" i="2"/>
  <c r="AF536" i="2" s="1"/>
  <c r="J33" i="3" s="1"/>
  <c r="AJ528" i="2"/>
  <c r="AK528" i="2"/>
  <c r="BG528" i="2" s="1"/>
  <c r="BH528" i="2" s="1"/>
  <c r="AL528" i="2"/>
  <c r="AW528" i="2"/>
  <c r="AX528" i="2" s="1"/>
  <c r="AA533" i="2" l="1"/>
  <c r="AA536" i="2" s="1"/>
  <c r="I33" i="3" s="1"/>
  <c r="AI533" i="2"/>
  <c r="AI534" i="2" s="1"/>
  <c r="K31" i="3" s="1"/>
  <c r="AJ520" i="2"/>
  <c r="Z533" i="2"/>
  <c r="Z535" i="2" s="1"/>
  <c r="I32" i="3" s="1"/>
  <c r="BC519" i="2"/>
  <c r="AZ519" i="2"/>
  <c r="AY519" i="2"/>
  <c r="BA519" i="2"/>
  <c r="AV519" i="2"/>
  <c r="AV533" i="2" s="1"/>
  <c r="AV537" i="2" s="1"/>
  <c r="M34" i="3" s="1"/>
  <c r="AU519" i="2"/>
  <c r="AU533" i="2" s="1"/>
  <c r="AU536" i="2" s="1"/>
  <c r="M33" i="3" s="1"/>
  <c r="AT519" i="2"/>
  <c r="AT533" i="2" s="1"/>
  <c r="AT535" i="2" s="1"/>
  <c r="M32" i="3" s="1"/>
  <c r="AS533" i="2"/>
  <c r="AS534" i="2" s="1"/>
  <c r="M31" i="3" s="1"/>
  <c r="BG519" i="2"/>
  <c r="BH519" i="2" s="1"/>
  <c r="AZ518" i="2"/>
  <c r="AY518" i="2"/>
  <c r="BA518" i="2"/>
  <c r="BG518" i="2"/>
  <c r="BH518" i="2" s="1"/>
  <c r="AW520" i="2"/>
  <c r="AX520" i="2" s="1"/>
  <c r="BG520" i="2"/>
  <c r="BH520" i="2" s="1"/>
  <c r="BC518" i="2"/>
  <c r="BQ518" i="2"/>
  <c r="BR518" i="2" s="1"/>
  <c r="BR520" i="2"/>
  <c r="BE523" i="2"/>
  <c r="BF523" i="2"/>
  <c r="BD523" i="2"/>
  <c r="BD524" i="2"/>
  <c r="BE524" i="2"/>
  <c r="BF524" i="2"/>
  <c r="BK524" i="2"/>
  <c r="BI524" i="2"/>
  <c r="BJ524" i="2"/>
  <c r="BM524" i="2"/>
  <c r="BM526" i="2"/>
  <c r="BJ526" i="2"/>
  <c r="BK526" i="2"/>
  <c r="BI526" i="2"/>
  <c r="BM525" i="2"/>
  <c r="BI525" i="2"/>
  <c r="BK525" i="2"/>
  <c r="BJ525" i="2"/>
  <c r="BE526" i="2"/>
  <c r="BF526" i="2"/>
  <c r="BD526" i="2"/>
  <c r="BK523" i="2"/>
  <c r="BI523" i="2"/>
  <c r="BJ523" i="2"/>
  <c r="BD525" i="2"/>
  <c r="BE525" i="2"/>
  <c r="BF525" i="2"/>
  <c r="BM523" i="2"/>
  <c r="BJ522" i="2"/>
  <c r="BM522" i="2"/>
  <c r="BI522" i="2"/>
  <c r="BK522" i="2"/>
  <c r="BK521" i="2"/>
  <c r="BI521" i="2"/>
  <c r="BJ521" i="2"/>
  <c r="BM521" i="2"/>
  <c r="BE522" i="2"/>
  <c r="BF522" i="2"/>
  <c r="BD522" i="2"/>
  <c r="BF521" i="2"/>
  <c r="BD521" i="2"/>
  <c r="BE521" i="2"/>
  <c r="BJ527" i="2"/>
  <c r="BM527" i="2"/>
  <c r="BO527" i="2" s="1"/>
  <c r="BI527" i="2"/>
  <c r="BD529" i="2"/>
  <c r="BE529" i="2"/>
  <c r="AL533" i="2"/>
  <c r="AL537" i="2" s="1"/>
  <c r="K34" i="3" s="1"/>
  <c r="AJ533" i="2"/>
  <c r="AJ535" i="2" s="1"/>
  <c r="K32" i="3" s="1"/>
  <c r="AQ533" i="2"/>
  <c r="AQ537" i="2" s="1"/>
  <c r="L34" i="3" s="1"/>
  <c r="AO533" i="2"/>
  <c r="AO535" i="2" s="1"/>
  <c r="L32" i="3" s="1"/>
  <c r="BK529" i="2"/>
  <c r="BJ529" i="2"/>
  <c r="BI529" i="2"/>
  <c r="BM529" i="2"/>
  <c r="BL528" i="2"/>
  <c r="BM528" i="2" s="1"/>
  <c r="AP533" i="2"/>
  <c r="AP536" i="2" s="1"/>
  <c r="L33" i="3" s="1"/>
  <c r="BI528" i="2"/>
  <c r="BK528" i="2"/>
  <c r="BJ528" i="2"/>
  <c r="AK533" i="2"/>
  <c r="AK536" i="2" s="1"/>
  <c r="K33" i="3" s="1"/>
  <c r="BC528" i="2"/>
  <c r="BA528" i="2"/>
  <c r="AY528" i="2"/>
  <c r="AZ528" i="2"/>
  <c r="BM520" i="2" l="1"/>
  <c r="BI520" i="2"/>
  <c r="BJ520" i="2"/>
  <c r="BK520" i="2"/>
  <c r="BH533" i="2"/>
  <c r="BH534" i="2" s="1"/>
  <c r="P31" i="3" s="1"/>
  <c r="AY520" i="2"/>
  <c r="AY533" i="2" s="1"/>
  <c r="AY535" i="2" s="1"/>
  <c r="N32" i="3" s="1"/>
  <c r="BA520" i="2"/>
  <c r="BA533" i="2" s="1"/>
  <c r="BA537" i="2" s="1"/>
  <c r="N34" i="3" s="1"/>
  <c r="BC520" i="2"/>
  <c r="BC533" i="2" s="1"/>
  <c r="BC534" i="2" s="1"/>
  <c r="O31" i="3" s="1"/>
  <c r="AZ520" i="2"/>
  <c r="AZ533" i="2" s="1"/>
  <c r="AZ536" i="2" s="1"/>
  <c r="N33" i="3" s="1"/>
  <c r="AX533" i="2"/>
  <c r="AX534" i="2" s="1"/>
  <c r="N31" i="3" s="1"/>
  <c r="BT518" i="2"/>
  <c r="BU518" i="2"/>
  <c r="BS518" i="2"/>
  <c r="BM519" i="2"/>
  <c r="BJ519" i="2"/>
  <c r="BK519" i="2"/>
  <c r="BI519" i="2"/>
  <c r="BQ519" i="2"/>
  <c r="BR519" i="2" s="1"/>
  <c r="BE518" i="2"/>
  <c r="BF518" i="2"/>
  <c r="BD518" i="2"/>
  <c r="BK518" i="2"/>
  <c r="BJ518" i="2"/>
  <c r="BI518" i="2"/>
  <c r="BM518" i="2"/>
  <c r="BF519" i="2"/>
  <c r="BE519" i="2"/>
  <c r="BD519" i="2"/>
  <c r="BS520" i="2"/>
  <c r="BT520" i="2"/>
  <c r="BU520" i="2"/>
  <c r="BN526" i="2"/>
  <c r="BP526" i="2"/>
  <c r="BO526" i="2"/>
  <c r="BN523" i="2"/>
  <c r="BO523" i="2"/>
  <c r="BP523" i="2"/>
  <c r="BO525" i="2"/>
  <c r="BP525" i="2"/>
  <c r="BN525" i="2"/>
  <c r="BN524" i="2"/>
  <c r="BO524" i="2"/>
  <c r="BP524" i="2"/>
  <c r="BN521" i="2"/>
  <c r="BO521" i="2"/>
  <c r="BP521" i="2"/>
  <c r="BO520" i="2"/>
  <c r="BN520" i="2"/>
  <c r="BP520" i="2"/>
  <c r="BO522" i="2"/>
  <c r="BN522" i="2"/>
  <c r="BP522" i="2"/>
  <c r="BN527" i="2"/>
  <c r="BP527" i="2"/>
  <c r="BP529" i="2"/>
  <c r="BO529" i="2"/>
  <c r="BN529" i="2"/>
  <c r="BI533" i="2"/>
  <c r="BI535" i="2" s="1"/>
  <c r="P32" i="3" s="1"/>
  <c r="BD528" i="2"/>
  <c r="BF528" i="2"/>
  <c r="BE528" i="2"/>
  <c r="BN528" i="2"/>
  <c r="BP528" i="2"/>
  <c r="BO528" i="2"/>
  <c r="BJ533" i="2" l="1"/>
  <c r="BJ536" i="2" s="1"/>
  <c r="P33" i="3" s="1"/>
  <c r="BK533" i="2"/>
  <c r="BK537" i="2" s="1"/>
  <c r="P34" i="3" s="1"/>
  <c r="BM533" i="2"/>
  <c r="BM534" i="2" s="1"/>
  <c r="Q31" i="3" s="1"/>
  <c r="BS519" i="2"/>
  <c r="BS533" i="2" s="1"/>
  <c r="BS535" i="2" s="1"/>
  <c r="R32" i="3" s="1"/>
  <c r="BT519" i="2"/>
  <c r="BT533" i="2" s="1"/>
  <c r="BT536" i="2" s="1"/>
  <c r="R33" i="3" s="1"/>
  <c r="BU519" i="2"/>
  <c r="BU533" i="2" s="1"/>
  <c r="BU537" i="2" s="1"/>
  <c r="R34" i="3" s="1"/>
  <c r="BR533" i="2"/>
  <c r="BR534" i="2" s="1"/>
  <c r="R31" i="3" s="1"/>
  <c r="BP519" i="2"/>
  <c r="BN519" i="2"/>
  <c r="BO519" i="2"/>
  <c r="BP518" i="2"/>
  <c r="BN518" i="2"/>
  <c r="BO518" i="2"/>
  <c r="BD520" i="2"/>
  <c r="BD533" i="2" s="1"/>
  <c r="BD535" i="2" s="1"/>
  <c r="O32" i="3" s="1"/>
  <c r="BF520" i="2"/>
  <c r="BF533" i="2" s="1"/>
  <c r="BF537" i="2" s="1"/>
  <c r="O34" i="3" s="1"/>
  <c r="BE520" i="2"/>
  <c r="BE533" i="2" s="1"/>
  <c r="BE536" i="2" s="1"/>
  <c r="O33" i="3" s="1"/>
  <c r="BO533" i="2" l="1"/>
  <c r="BO536" i="2" s="1"/>
  <c r="Q33" i="3" s="1"/>
  <c r="BN533" i="2"/>
  <c r="BN535" i="2" s="1"/>
  <c r="Q32" i="3" s="1"/>
  <c r="BP533" i="2"/>
  <c r="BP537" i="2" s="1"/>
  <c r="Q34" i="3" s="1"/>
</calcChain>
</file>

<file path=xl/sharedStrings.xml><?xml version="1.0" encoding="utf-8"?>
<sst xmlns="http://schemas.openxmlformats.org/spreadsheetml/2006/main" count="541" uniqueCount="190">
  <si>
    <t>X^2</t>
  </si>
  <si>
    <t>XY</t>
  </si>
  <si>
    <t>(1)</t>
  </si>
  <si>
    <t>(2)</t>
  </si>
  <si>
    <t>(3)</t>
  </si>
  <si>
    <t>(4)</t>
  </si>
  <si>
    <t>(5)</t>
  </si>
  <si>
    <t>Sum</t>
  </si>
  <si>
    <t xml:space="preserve">N = </t>
  </si>
  <si>
    <t xml:space="preserve">a = </t>
  </si>
  <si>
    <t>SUM(Y) / N</t>
  </si>
  <si>
    <t xml:space="preserve">b = </t>
  </si>
  <si>
    <t>a =</t>
  </si>
  <si>
    <t>b =</t>
  </si>
  <si>
    <t>Yc</t>
  </si>
  <si>
    <t>N =</t>
  </si>
  <si>
    <t>SUM(X^2) =</t>
  </si>
  <si>
    <t>log Y</t>
  </si>
  <si>
    <t>log a =</t>
  </si>
  <si>
    <t>log b =</t>
  </si>
  <si>
    <t>10^(log b) =</t>
  </si>
  <si>
    <t>log(Yc)</t>
  </si>
  <si>
    <t>X^4</t>
  </si>
  <si>
    <t>X^2Y</t>
  </si>
  <si>
    <t>(6)</t>
  </si>
  <si>
    <t>(7)</t>
  </si>
  <si>
    <t>SUM(X^4) =</t>
  </si>
  <si>
    <t>c =</t>
  </si>
  <si>
    <t>(N SUM(X^2Y)-SUM(X^2)SUM(Y)) / (N SUM(X^4)-(SUM(X^2)^2))</t>
  </si>
  <si>
    <t xml:space="preserve">(SUM(Y)-cSUM(X^2)) / N </t>
  </si>
  <si>
    <t>SUM(XY) / SUM (X^2) =</t>
  </si>
  <si>
    <t xml:space="preserve">c = </t>
  </si>
  <si>
    <t>=</t>
  </si>
  <si>
    <t>Linear Curve</t>
  </si>
  <si>
    <t>Parabolic Curve</t>
  </si>
  <si>
    <t>MAPE =</t>
  </si>
  <si>
    <t>N</t>
  </si>
  <si>
    <t>N odd?</t>
  </si>
  <si>
    <t>X.proj</t>
  </si>
  <si>
    <t>Year.obs</t>
  </si>
  <si>
    <t>Year.proj</t>
  </si>
  <si>
    <t>Linear Curve Parameters</t>
  </si>
  <si>
    <t>SUM(XY) / SUM(X^2)</t>
  </si>
  <si>
    <t>Linear Estimates and Projections</t>
  </si>
  <si>
    <t>Geometric Curve Parameters</t>
  </si>
  <si>
    <t>Geometric Estimates and Projections</t>
  </si>
  <si>
    <t>Parabolic Curve Parameters</t>
  </si>
  <si>
    <t>(8)</t>
  </si>
  <si>
    <t>Geometric Curve</t>
  </si>
  <si>
    <t>MAPE</t>
  </si>
  <si>
    <t>Linear curve</t>
  </si>
  <si>
    <t>MALPE =</t>
  </si>
  <si>
    <t>{Sum [|(Y-Yc)/Y| * 100]} / N</t>
  </si>
  <si>
    <t>Linear</t>
  </si>
  <si>
    <t>Geometric</t>
  </si>
  <si>
    <t>Parabolic</t>
  </si>
  <si>
    <t>(9)</t>
  </si>
  <si>
    <t>(10)</t>
  </si>
  <si>
    <t>Sum [(Y-Yc/Y) * 100] /N</t>
  </si>
  <si>
    <t>Yc-Y</t>
  </si>
  <si>
    <t>[(Yc-Y)/Y]*100</t>
  </si>
  <si>
    <t>(|Yc-Y|/Y)*100</t>
  </si>
  <si>
    <t>(11)</t>
  </si>
  <si>
    <t>(12)</t>
  </si>
  <si>
    <t>(13)</t>
  </si>
  <si>
    <t>(14)</t>
  </si>
  <si>
    <t>Year.fit</t>
  </si>
  <si>
    <t>Y.fit</t>
  </si>
  <si>
    <t>X.fit</t>
  </si>
  <si>
    <t>Gompertz Curve Parameters for Assumed Upper Limit</t>
  </si>
  <si>
    <t>Gompertz Curve Estimates and Projections for Assumed Upper Limit</t>
  </si>
  <si>
    <t>log c - log Y</t>
  </si>
  <si>
    <t>log(log c - log Y)</t>
  </si>
  <si>
    <t>[log(log c - log Y)]X</t>
  </si>
  <si>
    <t>log c</t>
  </si>
  <si>
    <t>log(log a) =</t>
  </si>
  <si>
    <t>log Yc</t>
  </si>
  <si>
    <t xml:space="preserve">log c = </t>
  </si>
  <si>
    <t>Gompertz Curve</t>
  </si>
  <si>
    <t>Gompertz</t>
  </si>
  <si>
    <t>Year.all</t>
  </si>
  <si>
    <t>Limit =</t>
  </si>
  <si>
    <t xml:space="preserve">    Limit:</t>
  </si>
  <si>
    <t>Upper Limit?</t>
  </si>
  <si>
    <t>X log Y</t>
  </si>
  <si>
    <t>SUM(X log Y) / SUM(X^2) =</t>
  </si>
  <si>
    <t>MAPE and MAPLE Computations</t>
  </si>
  <si>
    <t>Gompertz Curve Parameters for Assumed Lower Limit</t>
  </si>
  <si>
    <t>log Y - log c</t>
  </si>
  <si>
    <t>log(log Y - log c)</t>
  </si>
  <si>
    <t>[log(log Y - log c)]X</t>
  </si>
  <si>
    <t>Gompertz Curve Estimates and Projections for Assumed Lower Limit</t>
  </si>
  <si>
    <t>4+5</t>
  </si>
  <si>
    <t>4+6</t>
  </si>
  <si>
    <t>5+6</t>
  </si>
  <si>
    <t>4+5+6</t>
  </si>
  <si>
    <t>Trend Input Data</t>
  </si>
  <si>
    <t>ME</t>
  </si>
  <si>
    <t>MAE</t>
  </si>
  <si>
    <t>|Y-Yc|</t>
  </si>
  <si>
    <t>(15)</t>
  </si>
  <si>
    <t>(16)</t>
  </si>
  <si>
    <t>Study Area =</t>
  </si>
  <si>
    <t>Variable =</t>
  </si>
  <si>
    <t>First Year =</t>
  </si>
  <si>
    <t>Last Year =</t>
  </si>
  <si>
    <t>Base Year =</t>
  </si>
  <si>
    <t>Launch Year =</t>
  </si>
  <si>
    <t>Target Year =</t>
  </si>
  <si>
    <t>Observation Interval =</t>
  </si>
  <si>
    <t>Label =</t>
  </si>
  <si>
    <t>Year</t>
  </si>
  <si>
    <t>Observed</t>
  </si>
  <si>
    <t>Observation</t>
  </si>
  <si>
    <t>DeKalb County</t>
  </si>
  <si>
    <t>Population</t>
  </si>
  <si>
    <t>Projection</t>
  </si>
  <si>
    <t>(17)</t>
  </si>
  <si>
    <t xml:space="preserve">Year </t>
  </si>
  <si>
    <t>Projection Limit =</t>
  </si>
  <si>
    <t>MPE</t>
  </si>
  <si>
    <t xml:space="preserve">Further information on the book is available at: </t>
  </si>
  <si>
    <t>Contents</t>
  </si>
  <si>
    <r>
      <t xml:space="preserve">(2) </t>
    </r>
    <r>
      <rPr>
        <b/>
        <sz val="12"/>
        <color theme="1"/>
        <rFont val="Calibri"/>
        <family val="2"/>
        <scheme val="minor"/>
      </rPr>
      <t>Input</t>
    </r>
    <r>
      <rPr>
        <sz val="12"/>
        <color theme="1"/>
        <rFont val="Calibri"/>
        <family val="2"/>
        <scheme val="minor"/>
      </rPr>
      <t xml:space="preserve"> is used to enter the trend projection parameters and observed data; </t>
    </r>
  </si>
  <si>
    <t>Inputs and Procedures</t>
  </si>
  <si>
    <r>
      <t xml:space="preserve">(1) </t>
    </r>
    <r>
      <rPr>
        <b/>
        <sz val="12"/>
        <color theme="1"/>
        <rFont val="Calibri"/>
        <family val="2"/>
        <scheme val="minor"/>
      </rPr>
      <t>Study Area</t>
    </r>
    <r>
      <rPr>
        <sz val="12"/>
        <color theme="1"/>
        <rFont val="Calibri"/>
        <family val="2"/>
        <scheme val="minor"/>
      </rPr>
      <t>, the study area label.</t>
    </r>
  </si>
  <si>
    <r>
      <t xml:space="preserve">(2) </t>
    </r>
    <r>
      <rPr>
        <b/>
        <sz val="12"/>
        <color theme="1"/>
        <rFont val="Calibri"/>
        <family val="2"/>
        <scheme val="minor"/>
      </rPr>
      <t>Variable</t>
    </r>
    <r>
      <rPr>
        <sz val="12"/>
        <color theme="1"/>
        <rFont val="Calibri"/>
        <family val="2"/>
        <scheme val="minor"/>
      </rPr>
      <t>, the label for the trend projection variable. Estimates and projections can be prepared for any variable with observed values at regular intervals.</t>
    </r>
  </si>
  <si>
    <t xml:space="preserve">After entering the parameter values, users should delete any values in Observed Value range (column 3) and enter observed values corresponding to the observation years in column one. </t>
  </si>
  <si>
    <t>Outputs</t>
  </si>
  <si>
    <t>https://planningsupport.org/</t>
  </si>
  <si>
    <t>mailto:dick.klosterman@gmail.com</t>
  </si>
  <si>
    <t>Limit</t>
  </si>
  <si>
    <r>
      <t xml:space="preserve">(6) </t>
    </r>
    <r>
      <rPr>
        <b/>
        <sz val="11"/>
        <color theme="1"/>
        <rFont val="Calibri"/>
        <family val="2"/>
        <scheme val="minor"/>
      </rPr>
      <t>Trend Projections Plot</t>
    </r>
    <r>
      <rPr>
        <sz val="11"/>
        <color theme="1"/>
        <rFont val="Calibri"/>
        <family val="2"/>
        <scheme val="minor"/>
      </rPr>
      <t>. The Trend Projections chart plots: (1) the observed data values for the fit period; (2) the linear, geometric, parabolic, and Gompertz estimates and projections for the fit and projection periods; and (3) the Gompertz growth limit specified on the Input worksheet. The chart includes check boxes for displaying the curves and the growth limit.</t>
    </r>
  </si>
  <si>
    <r>
      <t xml:space="preserve">(1) </t>
    </r>
    <r>
      <rPr>
        <b/>
        <sz val="12"/>
        <color theme="1"/>
        <rFont val="Calibri"/>
        <family val="2"/>
        <scheme val="minor"/>
      </rPr>
      <t>Observation Years and Values</t>
    </r>
    <r>
      <rPr>
        <sz val="12"/>
        <color theme="1"/>
        <rFont val="Calibri"/>
        <family val="2"/>
        <scheme val="minor"/>
      </rPr>
      <t xml:space="preserve">. Columns 1 and 2 report the observation years and observed data values entered on the Input sheet. </t>
    </r>
  </si>
  <si>
    <r>
      <t xml:space="preserve">(4) </t>
    </r>
    <r>
      <rPr>
        <b/>
        <sz val="12"/>
        <color theme="1"/>
        <rFont val="Calibri"/>
        <family val="2"/>
        <scheme val="minor"/>
      </rPr>
      <t>Goodness of Fit Statistics</t>
    </r>
    <r>
      <rPr>
        <sz val="12"/>
        <color theme="1"/>
        <rFont val="Calibri"/>
        <family val="2"/>
        <scheme val="minor"/>
      </rPr>
      <t>. The rows at the bottom of the Output report record the Mean Error (ME), Mean Absolut Error (MAE), Mean Percentage Error (MPE), and Mean Absolute Percentage Error (MAPE) goodness of fit statistics for the curve estimates in columns 4 through 17.</t>
    </r>
  </si>
  <si>
    <r>
      <t xml:space="preserve">(5) </t>
    </r>
    <r>
      <rPr>
        <b/>
        <sz val="11"/>
        <color theme="1"/>
        <rFont val="Calibri"/>
        <family val="2"/>
        <scheme val="minor"/>
      </rPr>
      <t>Observed Data Plot</t>
    </r>
    <r>
      <rPr>
        <sz val="11"/>
        <color theme="1"/>
        <rFont val="Calibri"/>
        <family val="2"/>
        <scheme val="minor"/>
      </rPr>
      <t xml:space="preserve">. The Observed Data chart plots the observed data values specified on the Input worksheet. </t>
    </r>
  </si>
  <si>
    <r>
      <t xml:space="preserve">(4) </t>
    </r>
    <r>
      <rPr>
        <b/>
        <sz val="12"/>
        <color theme="1"/>
        <rFont val="Calibri"/>
        <family val="2"/>
        <scheme val="minor"/>
      </rPr>
      <t>Output</t>
    </r>
    <r>
      <rPr>
        <sz val="12"/>
        <color theme="1"/>
        <rFont val="Calibri"/>
        <family val="2"/>
        <scheme val="minor"/>
      </rPr>
      <t xml:space="preserve"> reports the observed data, the trend estimates and projections, and the goodness of fit statistics. It also plots the observed data values and four curve estimates and projections.</t>
    </r>
  </si>
  <si>
    <t xml:space="preserve">The Output worksheet reports and plots the observed values and the trend estimates and projections for the values specified on the Input sheet. The cells in the output report are locked and cannot be changed; the rest of the spreadsheet is not protected. </t>
  </si>
  <si>
    <t>Chart titles</t>
  </si>
  <si>
    <t>The workbook was developed by Richard Klosterman. Questions and comments can be sent to:</t>
  </si>
  <si>
    <t>The following values are entered on the Input worksheet.</t>
  </si>
  <si>
    <t xml:space="preserve">The parameter values define the Label displayed at the top of the Input sheet and on the Output report and plots. The parameter values also define the Observation Year and Fit Year values in columns one and two of the Input worksheet.  </t>
  </si>
  <si>
    <t>Units =</t>
  </si>
  <si>
    <t>thousands</t>
  </si>
  <si>
    <t>Y axis label</t>
  </si>
  <si>
    <t xml:space="preserve">The Input worksheet is used to enter ten parameters and the observed values for the observation years. These data are entered in cells highlighted in blue. The other cells are locked and cannot be modified by the user. </t>
  </si>
  <si>
    <r>
      <t xml:space="preserve">(4) </t>
    </r>
    <r>
      <rPr>
        <b/>
        <sz val="12"/>
        <color theme="1"/>
        <rFont val="Calibri"/>
        <family val="2"/>
        <scheme val="minor"/>
      </rPr>
      <t>First Year</t>
    </r>
    <r>
      <rPr>
        <sz val="12"/>
        <color theme="1"/>
        <rFont val="Calibri"/>
        <family val="2"/>
        <scheme val="minor"/>
      </rPr>
      <t>, the first year for which observation data are provided.</t>
    </r>
  </si>
  <si>
    <r>
      <t xml:space="preserve">(5) </t>
    </r>
    <r>
      <rPr>
        <b/>
        <sz val="12"/>
        <color theme="1"/>
        <rFont val="Calibri"/>
        <family val="2"/>
        <scheme val="minor"/>
      </rPr>
      <t>Last Year</t>
    </r>
    <r>
      <rPr>
        <sz val="12"/>
        <color theme="1"/>
        <rFont val="Calibri"/>
        <family val="2"/>
        <scheme val="minor"/>
      </rPr>
      <t>, the last year for which observation data are provided.</t>
    </r>
  </si>
  <si>
    <r>
      <t xml:space="preserve">(6) </t>
    </r>
    <r>
      <rPr>
        <b/>
        <sz val="12"/>
        <color theme="1"/>
        <rFont val="Calibri"/>
        <family val="2"/>
        <scheme val="minor"/>
      </rPr>
      <t>Base Year</t>
    </r>
    <r>
      <rPr>
        <sz val="12"/>
        <color theme="1"/>
        <rFont val="Calibri"/>
        <family val="2"/>
        <scheme val="minor"/>
      </rPr>
      <t xml:space="preserve">, the first year for the fit period that will be used to project future values. The Base Year may correspond to the First Year. </t>
    </r>
  </si>
  <si>
    <r>
      <t>(7</t>
    </r>
    <r>
      <rPr>
        <b/>
        <sz val="12"/>
        <color theme="1"/>
        <rFont val="Calibri"/>
        <family val="2"/>
        <scheme val="minor"/>
      </rPr>
      <t>) Launch Year</t>
    </r>
    <r>
      <rPr>
        <sz val="12"/>
        <color theme="1"/>
        <rFont val="Calibri"/>
        <family val="2"/>
        <scheme val="minor"/>
      </rPr>
      <t>, the last year for the fit period that will be used to project future values. The Launch Year may correspond to the Last Year.</t>
    </r>
  </si>
  <si>
    <r>
      <t xml:space="preserve">(8) </t>
    </r>
    <r>
      <rPr>
        <b/>
        <sz val="12"/>
        <color theme="1"/>
        <rFont val="Calibri"/>
        <family val="2"/>
        <scheme val="minor"/>
      </rPr>
      <t>Target Year</t>
    </r>
    <r>
      <rPr>
        <sz val="12"/>
        <color theme="1"/>
        <rFont val="Calibri"/>
        <family val="2"/>
        <scheme val="minor"/>
      </rPr>
      <t>, the last year for the trend projections.</t>
    </r>
  </si>
  <si>
    <r>
      <t xml:space="preserve">(10) </t>
    </r>
    <r>
      <rPr>
        <b/>
        <sz val="12"/>
        <color theme="1"/>
        <rFont val="Calibri"/>
        <family val="2"/>
        <scheme val="minor"/>
      </rPr>
      <t>Projection Limit</t>
    </r>
    <r>
      <rPr>
        <sz val="12"/>
        <color theme="1"/>
        <rFont val="Calibri"/>
        <family val="2"/>
        <scheme val="minor"/>
      </rPr>
      <t xml:space="preserve">, the assumed Gompertz curve asymptotic limit. The Projection Limit can be either a maximum or minimum value. </t>
    </r>
  </si>
  <si>
    <r>
      <t xml:space="preserve">(3) </t>
    </r>
    <r>
      <rPr>
        <b/>
        <sz val="12"/>
        <color theme="1"/>
        <rFont val="Calibri"/>
        <family val="2"/>
        <scheme val="minor"/>
      </rPr>
      <t>Units</t>
    </r>
    <r>
      <rPr>
        <sz val="12"/>
        <color theme="1"/>
        <rFont val="Calibri"/>
        <family val="2"/>
        <scheme val="minor"/>
      </rPr>
      <t>, the measurements units for the observed, estimated, and projected values.</t>
    </r>
  </si>
  <si>
    <t>Fit Year</t>
  </si>
  <si>
    <t xml:space="preserve"> = </t>
  </si>
  <si>
    <t xml:space="preserve">= </t>
  </si>
  <si>
    <t>Parabolic Curve Estimates and Projections</t>
  </si>
  <si>
    <t>index =</t>
  </si>
  <si>
    <t xml:space="preserve"> =</t>
  </si>
  <si>
    <t>Sum.X2 =</t>
  </si>
  <si>
    <t xml:space="preserve">SUM(log Y) / N </t>
  </si>
  <si>
    <t>10^(log a)</t>
  </si>
  <si>
    <t xml:space="preserve">log a = </t>
  </si>
  <si>
    <t>i</t>
  </si>
  <si>
    <t>X{1} =</t>
  </si>
  <si>
    <t>log Yc{1} =</t>
  </si>
  <si>
    <t xml:space="preserve">Yc{1} = </t>
  </si>
  <si>
    <t xml:space="preserve">ME = </t>
  </si>
  <si>
    <t>Sum(Y-Yc)/N</t>
  </si>
  <si>
    <t xml:space="preserve">MAE = </t>
  </si>
  <si>
    <t>Sum(|Y-Yc|)/N</t>
  </si>
  <si>
    <t>4+5+6+7</t>
  </si>
  <si>
    <t>4+6+7</t>
  </si>
  <si>
    <t>5+6+7</t>
  </si>
  <si>
    <t>4+7</t>
  </si>
  <si>
    <t>5+7</t>
  </si>
  <si>
    <t>6+7</t>
  </si>
  <si>
    <t xml:space="preserve">log b = </t>
  </si>
  <si>
    <t xml:space="preserve">log(log a) = </t>
  </si>
  <si>
    <t xml:space="preserve">SUM(X^2) = </t>
  </si>
  <si>
    <r>
      <t xml:space="preserve">(3) </t>
    </r>
    <r>
      <rPr>
        <b/>
        <sz val="12"/>
        <color theme="1"/>
        <rFont val="Calibri"/>
        <family val="2"/>
        <scheme val="minor"/>
      </rPr>
      <t>Calculation</t>
    </r>
    <r>
      <rPr>
        <sz val="12"/>
        <color theme="1"/>
        <rFont val="Calibri"/>
        <family val="2"/>
        <scheme val="minor"/>
      </rPr>
      <t xml:space="preserve"> computes the trend estimates and projections and documents the trend computations. The worksheet is protected and cannot be modified by users. The procedures used to compute the estimates and projections are described in Richard E. Klosterman, </t>
    </r>
    <r>
      <rPr>
        <i/>
        <sz val="12"/>
        <color theme="1"/>
        <rFont val="Calibri"/>
        <family val="2"/>
        <scheme val="minor"/>
      </rPr>
      <t xml:space="preserve">Community Analysis and Planning Techniques </t>
    </r>
    <r>
      <rPr>
        <sz val="12"/>
        <color theme="1"/>
        <rFont val="Calibri"/>
        <family val="2"/>
        <scheme val="minor"/>
      </rPr>
      <t xml:space="preserve">(Rowman and Littlefield: 1990), pp. 207-242. </t>
    </r>
  </si>
  <si>
    <t>Chart check boxes</t>
  </si>
  <si>
    <t>Trend Projection_1.30.xlsx</t>
  </si>
  <si>
    <r>
      <t xml:space="preserve">The Trend Proection workbook implements the trend projection methods described in Chapter 3 of Richard E. Klosterman, Kerry Brooks, Joshua Drucker, Edward Feser, and Henry Renski. </t>
    </r>
    <r>
      <rPr>
        <i/>
        <sz val="12"/>
        <color theme="1"/>
        <rFont val="Calibri"/>
        <family val="2"/>
        <scheme val="minor"/>
      </rPr>
      <t xml:space="preserve">Planning Support Methods: Urban and Regional Analysis and Projection </t>
    </r>
    <r>
      <rPr>
        <sz val="12"/>
        <color theme="1"/>
        <rFont val="Calibri"/>
        <family val="2"/>
        <scheme val="minor"/>
      </rPr>
      <t>(Rowman and Littlefield: 2018)</t>
    </r>
    <r>
      <rPr>
        <i/>
        <sz val="12"/>
        <color theme="1"/>
        <rFont val="Calibri"/>
        <family val="2"/>
        <scheme val="minor"/>
      </rPr>
      <t xml:space="preserve">. </t>
    </r>
    <r>
      <rPr>
        <sz val="12"/>
        <color theme="1"/>
        <rFont val="Calibri"/>
        <family val="2"/>
        <scheme val="minor"/>
      </rPr>
      <t xml:space="preserve">The workbook is distributed with population data for DeKalb County, Georgia, that are used on pages 48 to 58 of the </t>
    </r>
    <r>
      <rPr>
        <i/>
        <sz val="12"/>
        <color theme="1"/>
        <rFont val="Calibri"/>
        <family val="2"/>
        <scheme val="minor"/>
      </rPr>
      <t>Planning Support Methods</t>
    </r>
    <r>
      <rPr>
        <sz val="12"/>
        <color theme="1"/>
        <rFont val="Calibri"/>
        <family val="2"/>
        <scheme val="minor"/>
      </rPr>
      <t xml:space="preserve"> text.</t>
    </r>
  </si>
  <si>
    <t xml:space="preserve">The Trend Projection workbook has four worksheets: </t>
  </si>
  <si>
    <r>
      <t xml:space="preserve">(1) </t>
    </r>
    <r>
      <rPr>
        <b/>
        <sz val="12"/>
        <color theme="1"/>
        <rFont val="Calibri"/>
        <family val="2"/>
        <scheme val="minor"/>
      </rPr>
      <t>Documentation</t>
    </r>
    <r>
      <rPr>
        <sz val="12"/>
        <color theme="1"/>
        <rFont val="Calibri"/>
        <family val="2"/>
        <scheme val="minor"/>
      </rPr>
      <t xml:space="preserve"> describes the Trend Projection workbook, procedures for using it, the required inputs, and outputs; </t>
    </r>
  </si>
  <si>
    <r>
      <t xml:space="preserve">(9) </t>
    </r>
    <r>
      <rPr>
        <b/>
        <sz val="12"/>
        <color theme="1"/>
        <rFont val="Calibri"/>
        <family val="2"/>
        <scheme val="minor"/>
      </rPr>
      <t>Observation Interval</t>
    </r>
    <r>
      <rPr>
        <sz val="12"/>
        <color theme="1"/>
        <rFont val="Calibri"/>
        <family val="2"/>
        <scheme val="minor"/>
      </rPr>
      <t>, the time interval between the observed values. The Observation Interval is also the time interval between the trend estimates and projections.</t>
    </r>
  </si>
  <si>
    <t>The following information is provided in the Output worksheet table.</t>
  </si>
  <si>
    <r>
      <t xml:space="preserve">(2) </t>
    </r>
    <r>
      <rPr>
        <b/>
        <sz val="12"/>
        <color theme="1"/>
        <rFont val="Calibri"/>
        <family val="2"/>
        <scheme val="minor"/>
      </rPr>
      <t>Estimates and Projections</t>
    </r>
    <r>
      <rPr>
        <sz val="12"/>
        <color theme="1"/>
        <rFont val="Calibri"/>
        <family val="2"/>
        <scheme val="minor"/>
      </rPr>
      <t xml:space="preserve">. Columns 4 through 7 record the linear, geometric, parabolic and Gompertz estimates and projections for the estimation and projection years in column 3. </t>
    </r>
  </si>
  <si>
    <r>
      <t xml:space="preserve">(3) </t>
    </r>
    <r>
      <rPr>
        <b/>
        <sz val="12"/>
        <color theme="1"/>
        <rFont val="Calibri"/>
        <family val="2"/>
        <scheme val="minor"/>
      </rPr>
      <t>Average and Trimmed Averages</t>
    </r>
    <r>
      <rPr>
        <sz val="12"/>
        <color theme="1"/>
        <rFont val="Calibri"/>
        <family val="2"/>
        <scheme val="minor"/>
      </rPr>
      <t xml:space="preserve">. Columns 8 through 17 record the average and trimmed average values for estimates and projections in columns 4 through 7. For example, column 8 records the average for columns 4 through 7, i.e., the average four all four trend curves.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</si>
</sst>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
    <numFmt numFmtId="165" formatCode="#,##0.0"/>
    <numFmt numFmtId="166" formatCode="0.0000"/>
    <numFmt numFmtId="167" formatCode="#,##0.00000"/>
    <numFmt numFmtId="168" formatCode="#,##0.000"/>
    <numFmt numFmtId="169" formatCode="0.000"/>
    <numFmt numFmtId="170" formatCode="0.00000000000000"/>
    <numFmt numFmtId="171" formatCode="#,##0.0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name val="Helv"/>
    </font>
    <font>
      <sz val="11"/>
      <name val="Calibri"/>
      <family val="2"/>
      <scheme val="minor"/>
    </font>
    <font>
      <b/>
      <sz val="12"/>
      <name val="Calibri"/>
      <family val="2"/>
      <scheme val="minor"/>
    </font>
    <font>
      <b/>
      <sz val="12"/>
      <color theme="1"/>
      <name val="Calibri"/>
      <family val="2"/>
      <scheme val="minor"/>
    </font>
    <font>
      <sz val="12"/>
      <color theme="1"/>
      <name val="Calibri"/>
      <family val="2"/>
      <scheme val="minor"/>
    </font>
    <font>
      <i/>
      <sz val="12"/>
      <color theme="1"/>
      <name val="Calibri"/>
      <family val="2"/>
      <scheme val="minor"/>
    </font>
    <font>
      <b/>
      <sz val="14"/>
      <color theme="1"/>
      <name val="Calibri"/>
      <family val="2"/>
      <scheme val="minor"/>
    </font>
    <font>
      <u/>
      <sz val="11"/>
      <color theme="10"/>
      <name val="Calibri"/>
      <family val="2"/>
      <scheme val="minor"/>
    </font>
    <font>
      <sz val="8"/>
      <color rgb="FF000000"/>
      <name val="Segoe UI"/>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3" tint="0.79998168889431442"/>
        <bgColor indexed="64"/>
      </patternFill>
    </fill>
  </fills>
  <borders count="5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right/>
      <top style="medium">
        <color indexed="64"/>
      </top>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top style="medium">
        <color indexed="64"/>
      </top>
      <bottom style="thin">
        <color auto="1"/>
      </bottom>
      <diagonal/>
    </border>
    <border>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medium">
        <color indexed="64"/>
      </top>
      <bottom style="thin">
        <color auto="1"/>
      </bottom>
      <diagonal/>
    </border>
    <border>
      <left style="thin">
        <color indexed="64"/>
      </left>
      <right/>
      <top style="thin">
        <color indexed="64"/>
      </top>
      <bottom/>
      <diagonal/>
    </border>
    <border>
      <left/>
      <right/>
      <top/>
      <bottom style="thin">
        <color indexed="64"/>
      </bottom>
      <diagonal/>
    </border>
    <border>
      <left/>
      <right style="thin">
        <color indexed="64"/>
      </right>
      <top style="medium">
        <color indexed="64"/>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5" fillId="0" borderId="0" applyNumberFormat="0" applyFill="0" applyBorder="0" applyAlignment="0" applyProtection="0"/>
  </cellStyleXfs>
  <cellXfs count="202">
    <xf numFmtId="0" fontId="0" fillId="0" borderId="0" xfId="0"/>
    <xf numFmtId="3" fontId="0" fillId="0" borderId="0" xfId="0" applyNumberFormat="1"/>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0" xfId="0" applyAlignment="1">
      <alignment horizontal="left"/>
    </xf>
    <xf numFmtId="0" fontId="0" fillId="0" borderId="0" xfId="0" applyAlignment="1">
      <alignment horizontal="centerContinuous"/>
    </xf>
    <xf numFmtId="0" fontId="0" fillId="0" borderId="0" xfId="0" applyAlignment="1">
      <alignment horizontal="right"/>
    </xf>
    <xf numFmtId="166" fontId="0" fillId="0" borderId="0" xfId="0" applyNumberFormat="1" applyAlignment="1">
      <alignment horizontal="left"/>
    </xf>
    <xf numFmtId="2" fontId="0" fillId="0" borderId="0" xfId="0" applyNumberFormat="1" applyAlignment="1">
      <alignment horizontal="left"/>
    </xf>
    <xf numFmtId="2" fontId="0" fillId="0" borderId="0" xfId="0" applyNumberFormat="1"/>
    <xf numFmtId="166" fontId="0" fillId="0" borderId="0" xfId="0" applyNumberFormat="1"/>
    <xf numFmtId="4" fontId="0" fillId="0" borderId="0" xfId="0" applyNumberFormat="1"/>
    <xf numFmtId="4" fontId="0" fillId="0" borderId="0" xfId="0" applyNumberFormat="1" applyAlignment="1">
      <alignment horizontal="left"/>
    </xf>
    <xf numFmtId="0" fontId="19" fillId="0" borderId="0" xfId="0" applyFont="1" applyAlignment="1">
      <alignment horizontal="right"/>
    </xf>
    <xf numFmtId="166" fontId="19" fillId="0" borderId="0" xfId="0" applyNumberFormat="1" applyFont="1" applyAlignment="1">
      <alignment horizontal="left"/>
    </xf>
    <xf numFmtId="4" fontId="19" fillId="0" borderId="0" xfId="0" applyNumberFormat="1" applyFont="1" applyAlignment="1">
      <alignment horizontal="left"/>
    </xf>
    <xf numFmtId="2" fontId="19" fillId="0" borderId="0" xfId="0" applyNumberFormat="1" applyFont="1" applyAlignment="1">
      <alignment horizontal="left"/>
    </xf>
    <xf numFmtId="3" fontId="0" fillId="0" borderId="0" xfId="0" applyNumberFormat="1" applyAlignment="1">
      <alignment horizontal="left"/>
    </xf>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0" fontId="0" fillId="0" borderId="0" xfId="0" applyAlignment="1">
      <alignment horizontal="center"/>
    </xf>
    <xf numFmtId="164" fontId="0" fillId="0" borderId="0" xfId="0" applyNumberFormat="1"/>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18" xfId="0" applyBorder="1" applyAlignment="1">
      <alignment horizontal="center"/>
    </xf>
    <xf numFmtId="0" fontId="0" fillId="0" borderId="20" xfId="0" applyBorder="1" applyAlignment="1">
      <alignment horizontal="center"/>
    </xf>
    <xf numFmtId="0" fontId="0" fillId="0" borderId="24" xfId="0" applyBorder="1" applyAlignment="1">
      <alignment horizontal="center"/>
    </xf>
    <xf numFmtId="0" fontId="0" fillId="0" borderId="25" xfId="0" applyBorder="1" applyAlignment="1">
      <alignment horizontal="center"/>
    </xf>
    <xf numFmtId="0" fontId="0" fillId="0" borderId="19" xfId="0" applyBorder="1" applyAlignment="1">
      <alignment horizontal="center"/>
    </xf>
    <xf numFmtId="0" fontId="18" fillId="0" borderId="0" xfId="0" applyFont="1" applyAlignment="1">
      <alignment horizontal="left"/>
    </xf>
    <xf numFmtId="0" fontId="0" fillId="0" borderId="0" xfId="0" quotePrefix="1" applyAlignment="1">
      <alignment horizontal="center"/>
    </xf>
    <xf numFmtId="0" fontId="0" fillId="0" borderId="23" xfId="0" applyBorder="1"/>
    <xf numFmtId="166" fontId="0" fillId="0" borderId="23" xfId="0" applyNumberFormat="1" applyBorder="1"/>
    <xf numFmtId="166" fontId="0" fillId="0" borderId="26" xfId="0" applyNumberFormat="1" applyBorder="1"/>
    <xf numFmtId="0" fontId="18" fillId="0" borderId="0" xfId="0" quotePrefix="1" applyFont="1" applyAlignment="1">
      <alignment horizontal="left"/>
    </xf>
    <xf numFmtId="0" fontId="16" fillId="0" borderId="0" xfId="0" applyFont="1" applyAlignment="1">
      <alignment horizontal="centerContinuous"/>
    </xf>
    <xf numFmtId="0" fontId="20" fillId="0" borderId="0" xfId="0" quotePrefix="1" applyFont="1" applyAlignment="1">
      <alignment horizontal="left"/>
    </xf>
    <xf numFmtId="0" fontId="21" fillId="0" borderId="0" xfId="0" applyFont="1"/>
    <xf numFmtId="0" fontId="0" fillId="0" borderId="12" xfId="0" quotePrefix="1" applyBorder="1" applyAlignment="1">
      <alignment horizontal="center"/>
    </xf>
    <xf numFmtId="0" fontId="0" fillId="0" borderId="25" xfId="0" quotePrefix="1" applyBorder="1" applyAlignment="1">
      <alignment horizontal="center"/>
    </xf>
    <xf numFmtId="0" fontId="0" fillId="0" borderId="28" xfId="0" applyBorder="1" applyAlignment="1">
      <alignment horizontal="center"/>
    </xf>
    <xf numFmtId="0" fontId="0" fillId="0" borderId="30" xfId="0" applyBorder="1" applyAlignment="1">
      <alignment horizontal="center"/>
    </xf>
    <xf numFmtId="3" fontId="0" fillId="0" borderId="22" xfId="0" applyNumberFormat="1" applyBorder="1" applyAlignment="1">
      <alignment horizontal="center"/>
    </xf>
    <xf numFmtId="168" fontId="0" fillId="0" borderId="15" xfId="0" applyNumberFormat="1" applyBorder="1" applyAlignment="1">
      <alignment horizontal="center"/>
    </xf>
    <xf numFmtId="168" fontId="0" fillId="0" borderId="11" xfId="0" applyNumberFormat="1" applyBorder="1" applyAlignment="1">
      <alignment horizontal="center"/>
    </xf>
    <xf numFmtId="169" fontId="0" fillId="0" borderId="23" xfId="0" applyNumberFormat="1" applyBorder="1" applyAlignment="1">
      <alignment horizontal="center"/>
    </xf>
    <xf numFmtId="3" fontId="0" fillId="0" borderId="31" xfId="0" applyNumberFormat="1" applyBorder="1" applyAlignment="1">
      <alignment horizontal="center"/>
    </xf>
    <xf numFmtId="168" fontId="0" fillId="0" borderId="19" xfId="0" applyNumberFormat="1" applyBorder="1" applyAlignment="1">
      <alignment horizontal="center"/>
    </xf>
    <xf numFmtId="169" fontId="0" fillId="0" borderId="26" xfId="0" applyNumberFormat="1" applyBorder="1" applyAlignment="1">
      <alignment horizontal="center"/>
    </xf>
    <xf numFmtId="0" fontId="0" fillId="0" borderId="24" xfId="0" quotePrefix="1" applyBorder="1" applyAlignment="1">
      <alignment horizontal="center"/>
    </xf>
    <xf numFmtId="0" fontId="0" fillId="0" borderId="32" xfId="0" applyBorder="1"/>
    <xf numFmtId="2" fontId="0" fillId="0" borderId="15" xfId="0" applyNumberFormat="1" applyBorder="1"/>
    <xf numFmtId="0" fontId="0" fillId="0" borderId="0" xfId="0" quotePrefix="1" applyAlignment="1">
      <alignment horizontal="right"/>
    </xf>
    <xf numFmtId="1" fontId="0" fillId="0" borderId="19" xfId="0" applyNumberFormat="1" applyBorder="1" applyAlignment="1">
      <alignment horizontal="center"/>
    </xf>
    <xf numFmtId="1" fontId="0" fillId="0" borderId="11" xfId="0" applyNumberFormat="1" applyBorder="1" applyAlignment="1">
      <alignment horizontal="center"/>
    </xf>
    <xf numFmtId="1" fontId="0" fillId="0" borderId="20" xfId="0" applyNumberFormat="1" applyBorder="1" applyAlignment="1">
      <alignment horizontal="center"/>
    </xf>
    <xf numFmtId="1" fontId="0" fillId="0" borderId="16" xfId="0" applyNumberFormat="1" applyBorder="1" applyAlignment="1">
      <alignment horizontal="center"/>
    </xf>
    <xf numFmtId="0" fontId="0" fillId="0" borderId="38" xfId="0" applyBorder="1"/>
    <xf numFmtId="0" fontId="0" fillId="0" borderId="37" xfId="0" quotePrefix="1" applyBorder="1" applyAlignment="1">
      <alignment horizontal="right"/>
    </xf>
    <xf numFmtId="0" fontId="0" fillId="0" borderId="37" xfId="0" applyBorder="1" applyAlignment="1">
      <alignment horizontal="right"/>
    </xf>
    <xf numFmtId="1" fontId="0" fillId="0" borderId="37" xfId="0" applyNumberFormat="1" applyBorder="1" applyAlignment="1">
      <alignment horizontal="right"/>
    </xf>
    <xf numFmtId="0" fontId="0" fillId="0" borderId="37" xfId="0" applyBorder="1"/>
    <xf numFmtId="0" fontId="0" fillId="0" borderId="39" xfId="0" applyBorder="1"/>
    <xf numFmtId="0" fontId="0" fillId="0" borderId="40" xfId="0" applyBorder="1"/>
    <xf numFmtId="0" fontId="0" fillId="0" borderId="41" xfId="0" applyBorder="1"/>
    <xf numFmtId="3" fontId="0" fillId="0" borderId="38" xfId="0" applyNumberFormat="1" applyBorder="1"/>
    <xf numFmtId="3" fontId="0" fillId="0" borderId="38" xfId="0" applyNumberFormat="1" applyBorder="1" applyAlignment="1">
      <alignment horizontal="center"/>
    </xf>
    <xf numFmtId="165" fontId="0" fillId="0" borderId="38" xfId="0" applyNumberFormat="1" applyBorder="1" applyAlignment="1">
      <alignment horizontal="center"/>
    </xf>
    <xf numFmtId="0" fontId="0" fillId="0" borderId="42" xfId="0" applyBorder="1" applyAlignment="1">
      <alignment horizontal="centerContinuous"/>
    </xf>
    <xf numFmtId="0" fontId="0" fillId="0" borderId="29" xfId="0" quotePrefix="1" applyBorder="1" applyAlignment="1">
      <alignment horizontal="center"/>
    </xf>
    <xf numFmtId="0" fontId="0" fillId="0" borderId="44" xfId="0" applyBorder="1" applyAlignment="1">
      <alignment horizontal="centerContinuous"/>
    </xf>
    <xf numFmtId="0" fontId="0" fillId="0" borderId="45" xfId="0" applyBorder="1" applyAlignment="1">
      <alignment horizontal="centerContinuous"/>
    </xf>
    <xf numFmtId="0" fontId="0" fillId="0" borderId="27" xfId="0" applyBorder="1" applyAlignment="1">
      <alignment horizontal="center"/>
    </xf>
    <xf numFmtId="0" fontId="0" fillId="0" borderId="18" xfId="0" applyBorder="1" applyAlignment="1">
      <alignment horizontal="centerContinuous"/>
    </xf>
    <xf numFmtId="0" fontId="0" fillId="0" borderId="13" xfId="0" applyBorder="1" applyAlignment="1">
      <alignment horizontal="centerContinuous"/>
    </xf>
    <xf numFmtId="0" fontId="0" fillId="0" borderId="14" xfId="0" applyBorder="1" applyAlignment="1">
      <alignment horizontal="centerContinuous"/>
    </xf>
    <xf numFmtId="169" fontId="0" fillId="0" borderId="43" xfId="0" applyNumberFormat="1" applyBorder="1" applyAlignment="1">
      <alignment horizontal="center"/>
    </xf>
    <xf numFmtId="169" fontId="0" fillId="0" borderId="22" xfId="0" applyNumberFormat="1" applyBorder="1" applyAlignment="1">
      <alignment horizontal="center"/>
    </xf>
    <xf numFmtId="0" fontId="16" fillId="0" borderId="34" xfId="0" applyFont="1" applyBorder="1" applyAlignment="1">
      <alignment horizontal="centerContinuous"/>
    </xf>
    <xf numFmtId="0" fontId="0" fillId="0" borderId="35" xfId="0" applyBorder="1" applyAlignment="1">
      <alignment horizontal="centerContinuous"/>
    </xf>
    <xf numFmtId="0" fontId="0" fillId="0" borderId="36" xfId="0" applyBorder="1" applyAlignment="1">
      <alignment horizontal="centerContinuous"/>
    </xf>
    <xf numFmtId="166" fontId="0" fillId="0" borderId="0" xfId="0" applyNumberFormat="1" applyAlignment="1">
      <alignment horizontal="right"/>
    </xf>
    <xf numFmtId="166" fontId="0" fillId="0" borderId="15" xfId="0" applyNumberFormat="1" applyBorder="1" applyAlignment="1">
      <alignment horizontal="center"/>
    </xf>
    <xf numFmtId="168" fontId="0" fillId="0" borderId="0" xfId="0" applyNumberFormat="1"/>
    <xf numFmtId="1" fontId="0" fillId="0" borderId="0" xfId="0" applyNumberFormat="1" applyAlignment="1">
      <alignment horizontal="center"/>
    </xf>
    <xf numFmtId="168" fontId="0" fillId="0" borderId="0" xfId="0" applyNumberFormat="1" applyAlignment="1">
      <alignment horizontal="left"/>
    </xf>
    <xf numFmtId="2" fontId="0" fillId="0" borderId="16" xfId="0" applyNumberFormat="1" applyBorder="1"/>
    <xf numFmtId="0" fontId="0" fillId="0" borderId="20" xfId="0" applyBorder="1"/>
    <xf numFmtId="1" fontId="0" fillId="0" borderId="46" xfId="0" applyNumberFormat="1" applyBorder="1" applyAlignment="1">
      <alignment horizontal="center"/>
    </xf>
    <xf numFmtId="0" fontId="0" fillId="0" borderId="17" xfId="0" applyBorder="1"/>
    <xf numFmtId="0" fontId="16" fillId="0" borderId="0" xfId="0" applyFont="1"/>
    <xf numFmtId="167" fontId="0" fillId="0" borderId="0" xfId="0" applyNumberFormat="1"/>
    <xf numFmtId="3" fontId="19" fillId="0" borderId="0" xfId="0" applyNumberFormat="1" applyFont="1" applyAlignment="1">
      <alignment horizontal="left"/>
    </xf>
    <xf numFmtId="0" fontId="20" fillId="0" borderId="0" xfId="0" applyFont="1" applyAlignment="1">
      <alignment horizontal="left"/>
    </xf>
    <xf numFmtId="0" fontId="20" fillId="0" borderId="0" xfId="0" applyFont="1"/>
    <xf numFmtId="168" fontId="0" fillId="0" borderId="27" xfId="0" applyNumberFormat="1" applyBorder="1" applyAlignment="1">
      <alignment horizontal="center"/>
    </xf>
    <xf numFmtId="168" fontId="0" fillId="0" borderId="16" xfId="0" applyNumberFormat="1" applyBorder="1" applyAlignment="1">
      <alignment horizontal="center"/>
    </xf>
    <xf numFmtId="168" fontId="0" fillId="0" borderId="23" xfId="0" applyNumberFormat="1" applyBorder="1" applyAlignment="1">
      <alignment horizontal="center"/>
    </xf>
    <xf numFmtId="168" fontId="0" fillId="0" borderId="26" xfId="0" applyNumberFormat="1" applyBorder="1" applyAlignment="1">
      <alignment horizontal="center"/>
    </xf>
    <xf numFmtId="168" fontId="0" fillId="0" borderId="17" xfId="0" applyNumberFormat="1" applyBorder="1" applyAlignment="1">
      <alignment horizontal="center"/>
    </xf>
    <xf numFmtId="3" fontId="0" fillId="0" borderId="23" xfId="0" applyNumberFormat="1" applyBorder="1" applyAlignment="1">
      <alignment horizontal="center"/>
    </xf>
    <xf numFmtId="169" fontId="0" fillId="0" borderId="31" xfId="0" applyNumberFormat="1" applyBorder="1" applyAlignment="1">
      <alignment horizontal="center"/>
    </xf>
    <xf numFmtId="3" fontId="0" fillId="0" borderId="18" xfId="0" applyNumberFormat="1" applyBorder="1" applyAlignment="1">
      <alignment horizontal="center"/>
    </xf>
    <xf numFmtId="3" fontId="0" fillId="0" borderId="19" xfId="0" applyNumberFormat="1" applyBorder="1" applyAlignment="1">
      <alignment horizontal="center"/>
    </xf>
    <xf numFmtId="3" fontId="0" fillId="0" borderId="13" xfId="0" applyNumberFormat="1" applyBorder="1" applyAlignment="1">
      <alignment horizontal="center"/>
    </xf>
    <xf numFmtId="3" fontId="0" fillId="0" borderId="24" xfId="0" quotePrefix="1" applyNumberFormat="1" applyBorder="1" applyAlignment="1">
      <alignment horizontal="center"/>
    </xf>
    <xf numFmtId="3" fontId="0" fillId="0" borderId="12" xfId="0" quotePrefix="1" applyNumberFormat="1" applyBorder="1" applyAlignment="1">
      <alignment horizontal="center"/>
    </xf>
    <xf numFmtId="3" fontId="0" fillId="0" borderId="30" xfId="0" applyNumberFormat="1" applyBorder="1" applyAlignment="1">
      <alignment horizontal="center"/>
    </xf>
    <xf numFmtId="3" fontId="0" fillId="0" borderId="28" xfId="0" applyNumberFormat="1" applyBorder="1" applyAlignment="1">
      <alignment horizontal="center"/>
    </xf>
    <xf numFmtId="2" fontId="0" fillId="0" borderId="19" xfId="0" applyNumberFormat="1" applyBorder="1" applyAlignment="1">
      <alignment horizontal="center"/>
    </xf>
    <xf numFmtId="2" fontId="0" fillId="0" borderId="11" xfId="0" applyNumberFormat="1" applyBorder="1" applyAlignment="1">
      <alignment horizontal="center"/>
    </xf>
    <xf numFmtId="2" fontId="0" fillId="0" borderId="46" xfId="0" applyNumberFormat="1" applyBorder="1" applyAlignment="1">
      <alignment horizontal="center"/>
    </xf>
    <xf numFmtId="0" fontId="0" fillId="0" borderId="51" xfId="0" applyBorder="1" applyAlignment="1">
      <alignment horizontal="center"/>
    </xf>
    <xf numFmtId="2" fontId="0" fillId="0" borderId="20" xfId="0" applyNumberFormat="1" applyBorder="1" applyAlignment="1">
      <alignment horizontal="center"/>
    </xf>
    <xf numFmtId="2" fontId="0" fillId="0" borderId="16" xfId="0" applyNumberFormat="1" applyBorder="1" applyAlignment="1">
      <alignment horizontal="center"/>
    </xf>
    <xf numFmtId="2" fontId="0" fillId="0" borderId="17" xfId="0" applyNumberFormat="1" applyBorder="1" applyAlignment="1">
      <alignment horizontal="center"/>
    </xf>
    <xf numFmtId="2" fontId="0" fillId="0" borderId="47" xfId="0" applyNumberFormat="1" applyBorder="1" applyAlignment="1">
      <alignment horizontal="center"/>
    </xf>
    <xf numFmtId="169" fontId="0" fillId="0" borderId="0" xfId="0" applyNumberFormat="1" applyAlignment="1">
      <alignment horizontal="left"/>
    </xf>
    <xf numFmtId="0" fontId="0" fillId="0" borderId="53" xfId="0" quotePrefix="1" applyBorder="1" applyAlignment="1">
      <alignment horizontal="center"/>
    </xf>
    <xf numFmtId="2" fontId="0" fillId="0" borderId="18" xfId="0" applyNumberFormat="1" applyBorder="1" applyAlignment="1">
      <alignment horizontal="center"/>
    </xf>
    <xf numFmtId="2" fontId="0" fillId="0" borderId="13" xfId="0" applyNumberFormat="1" applyBorder="1" applyAlignment="1">
      <alignment horizontal="center"/>
    </xf>
    <xf numFmtId="2" fontId="0" fillId="0" borderId="14" xfId="0" applyNumberFormat="1" applyBorder="1" applyAlignment="1">
      <alignment horizontal="center"/>
    </xf>
    <xf numFmtId="2" fontId="0" fillId="0" borderId="50" xfId="0" applyNumberFormat="1" applyBorder="1" applyAlignment="1">
      <alignment horizontal="center"/>
    </xf>
    <xf numFmtId="2" fontId="0" fillId="0" borderId="28" xfId="0" applyNumberFormat="1" applyBorder="1" applyAlignment="1">
      <alignment horizontal="center"/>
    </xf>
    <xf numFmtId="2" fontId="0" fillId="0" borderId="15" xfId="0" applyNumberFormat="1" applyBorder="1" applyAlignment="1">
      <alignment horizontal="center"/>
    </xf>
    <xf numFmtId="2" fontId="0" fillId="0" borderId="30" xfId="0" applyNumberFormat="1" applyBorder="1" applyAlignment="1">
      <alignment horizontal="center"/>
    </xf>
    <xf numFmtId="0" fontId="0" fillId="0" borderId="55" xfId="0" applyBorder="1" applyAlignment="1">
      <alignment horizontal="center"/>
    </xf>
    <xf numFmtId="168" fontId="0" fillId="0" borderId="30" xfId="0" applyNumberFormat="1" applyBorder="1" applyAlignment="1">
      <alignment horizontal="center"/>
    </xf>
    <xf numFmtId="2" fontId="0" fillId="0" borderId="30" xfId="0" applyNumberFormat="1" applyBorder="1"/>
    <xf numFmtId="2" fontId="0" fillId="0" borderId="51" xfId="0" applyNumberFormat="1" applyBorder="1" applyAlignment="1">
      <alignment horizontal="center"/>
    </xf>
    <xf numFmtId="0" fontId="0" fillId="0" borderId="52" xfId="0" applyBorder="1" applyAlignment="1">
      <alignment horizontal="center"/>
    </xf>
    <xf numFmtId="168" fontId="0" fillId="0" borderId="46" xfId="0" applyNumberFormat="1" applyBorder="1" applyAlignment="1">
      <alignment horizontal="center"/>
    </xf>
    <xf numFmtId="168" fontId="0" fillId="0" borderId="0" xfId="0" applyNumberFormat="1" applyAlignment="1">
      <alignment horizontal="center"/>
    </xf>
    <xf numFmtId="166" fontId="0" fillId="0" borderId="0" xfId="0" applyNumberFormat="1" applyAlignment="1">
      <alignment horizontal="center"/>
    </xf>
    <xf numFmtId="166" fontId="0" fillId="0" borderId="17" xfId="0" applyNumberFormat="1" applyBorder="1" applyAlignment="1">
      <alignment horizontal="center"/>
    </xf>
    <xf numFmtId="3" fontId="0" fillId="0" borderId="0" xfId="0" applyNumberFormat="1" applyAlignment="1">
      <alignment horizontal="center"/>
    </xf>
    <xf numFmtId="3" fontId="0" fillId="0" borderId="42" xfId="0" applyNumberFormat="1" applyBorder="1" applyAlignment="1">
      <alignment horizontal="center"/>
    </xf>
    <xf numFmtId="3" fontId="0" fillId="0" borderId="56" xfId="0" quotePrefix="1" applyNumberFormat="1" applyBorder="1" applyAlignment="1">
      <alignment horizontal="center"/>
    </xf>
    <xf numFmtId="0" fontId="0" fillId="0" borderId="0" xfId="0" applyProtection="1">
      <protection locked="0"/>
    </xf>
    <xf numFmtId="168" fontId="0" fillId="33" borderId="15" xfId="0" applyNumberFormat="1" applyFill="1" applyBorder="1" applyAlignment="1" applyProtection="1">
      <alignment horizontal="center"/>
      <protection locked="0"/>
    </xf>
    <xf numFmtId="168" fontId="0" fillId="33" borderId="15" xfId="0" quotePrefix="1" applyNumberFormat="1" applyFill="1" applyBorder="1" applyAlignment="1" applyProtection="1">
      <alignment horizontal="center"/>
      <protection locked="0"/>
    </xf>
    <xf numFmtId="168" fontId="0" fillId="33" borderId="17" xfId="0" quotePrefix="1" applyNumberFormat="1" applyFill="1" applyBorder="1" applyAlignment="1" applyProtection="1">
      <alignment horizontal="center"/>
      <protection locked="0"/>
    </xf>
    <xf numFmtId="0" fontId="22" fillId="0" borderId="0" xfId="0" applyFont="1" applyAlignment="1">
      <alignment vertical="center" wrapText="1"/>
    </xf>
    <xf numFmtId="0" fontId="24" fillId="0" borderId="0" xfId="0" applyFont="1" applyAlignment="1">
      <alignment horizontal="center" vertical="center" wrapText="1"/>
    </xf>
    <xf numFmtId="0" fontId="21" fillId="0" borderId="0" xfId="0" applyFont="1" applyAlignment="1">
      <alignment vertical="center" wrapText="1"/>
    </xf>
    <xf numFmtId="0" fontId="22" fillId="0" borderId="0" xfId="0" applyFont="1" applyAlignment="1">
      <alignment horizontal="right" vertical="center" wrapText="1"/>
    </xf>
    <xf numFmtId="0" fontId="21" fillId="0" borderId="0" xfId="0" applyFont="1" applyAlignment="1">
      <alignment horizontal="center" vertical="center" wrapText="1"/>
    </xf>
    <xf numFmtId="0" fontId="22" fillId="0" borderId="0" xfId="0" applyFont="1" applyAlignment="1">
      <alignment horizontal="left" vertical="center" wrapText="1"/>
    </xf>
    <xf numFmtId="0" fontId="25" fillId="0" borderId="0" xfId="42"/>
    <xf numFmtId="169" fontId="0" fillId="0" borderId="0" xfId="0" applyNumberFormat="1" applyAlignment="1">
      <alignment horizontal="center"/>
    </xf>
    <xf numFmtId="0" fontId="0" fillId="33" borderId="0" xfId="0" applyFill="1" applyAlignment="1" applyProtection="1">
      <alignment horizontal="center"/>
      <protection locked="0"/>
    </xf>
    <xf numFmtId="168" fontId="0" fillId="33" borderId="0" xfId="0" applyNumberFormat="1" applyFill="1" applyAlignment="1" applyProtection="1">
      <alignment horizontal="center"/>
      <protection locked="0"/>
    </xf>
    <xf numFmtId="0" fontId="0" fillId="0" borderId="0" xfId="0" applyAlignment="1">
      <alignment wrapText="1"/>
    </xf>
    <xf numFmtId="168" fontId="0" fillId="0" borderId="33" xfId="0" applyNumberFormat="1" applyBorder="1" applyAlignment="1">
      <alignment horizontal="left"/>
    </xf>
    <xf numFmtId="0" fontId="0" fillId="0" borderId="42" xfId="0" applyBorder="1" applyAlignment="1">
      <alignment horizontal="center"/>
    </xf>
    <xf numFmtId="0" fontId="0" fillId="0" borderId="54" xfId="0" applyBorder="1" applyAlignment="1">
      <alignment horizontal="centerContinuous"/>
    </xf>
    <xf numFmtId="0" fontId="0" fillId="0" borderId="48" xfId="0" applyBorder="1" applyAlignment="1">
      <alignment horizontal="centerContinuous"/>
    </xf>
    <xf numFmtId="0" fontId="0" fillId="0" borderId="57" xfId="0" applyBorder="1" applyAlignment="1">
      <alignment horizontal="centerContinuous"/>
    </xf>
    <xf numFmtId="0" fontId="0" fillId="0" borderId="49" xfId="0" applyBorder="1" applyAlignment="1">
      <alignment horizontal="centerContinuous"/>
    </xf>
    <xf numFmtId="0" fontId="0" fillId="0" borderId="46" xfId="0" applyBorder="1" applyAlignment="1">
      <alignment horizontal="center"/>
    </xf>
    <xf numFmtId="0" fontId="0" fillId="0" borderId="10" xfId="0" quotePrefix="1" applyBorder="1" applyAlignment="1">
      <alignment horizontal="center"/>
    </xf>
    <xf numFmtId="0" fontId="0" fillId="0" borderId="27" xfId="0" quotePrefix="1" applyBorder="1" applyAlignment="1">
      <alignment horizontal="center"/>
    </xf>
    <xf numFmtId="169" fontId="0" fillId="0" borderId="15" xfId="0" applyNumberFormat="1" applyBorder="1" applyAlignment="1">
      <alignment horizontal="center"/>
    </xf>
    <xf numFmtId="168" fontId="0" fillId="0" borderId="10" xfId="0" applyNumberFormat="1" applyBorder="1" applyAlignment="1">
      <alignment horizontal="center"/>
    </xf>
    <xf numFmtId="168" fontId="0" fillId="0" borderId="12" xfId="0" applyNumberFormat="1" applyBorder="1" applyAlignment="1">
      <alignment horizontal="center"/>
    </xf>
    <xf numFmtId="168" fontId="0" fillId="0" borderId="25" xfId="0" applyNumberFormat="1" applyBorder="1" applyAlignment="1">
      <alignment horizontal="center"/>
    </xf>
    <xf numFmtId="1" fontId="0" fillId="0" borderId="21" xfId="0" applyNumberFormat="1" applyBorder="1" applyAlignment="1">
      <alignment horizontal="left" indent="2"/>
    </xf>
    <xf numFmtId="168" fontId="0" fillId="0" borderId="52" xfId="0" applyNumberFormat="1" applyBorder="1" applyAlignment="1">
      <alignment horizontal="center"/>
    </xf>
    <xf numFmtId="2" fontId="0" fillId="0" borderId="10" xfId="0" applyNumberFormat="1" applyBorder="1" applyAlignment="1">
      <alignment horizontal="center"/>
    </xf>
    <xf numFmtId="2" fontId="0" fillId="0" borderId="27" xfId="0" applyNumberFormat="1" applyBorder="1" applyAlignment="1">
      <alignment horizontal="center"/>
    </xf>
    <xf numFmtId="1" fontId="0" fillId="0" borderId="19" xfId="0" applyNumberFormat="1" applyBorder="1" applyAlignment="1">
      <alignment horizontal="left" indent="2"/>
    </xf>
    <xf numFmtId="0" fontId="0" fillId="0" borderId="19" xfId="0" applyBorder="1" applyAlignment="1">
      <alignment horizontal="left" indent="2"/>
    </xf>
    <xf numFmtId="0" fontId="0" fillId="0" borderId="15" xfId="0" applyBorder="1"/>
    <xf numFmtId="0" fontId="0" fillId="0" borderId="46" xfId="0" applyBorder="1"/>
    <xf numFmtId="0" fontId="0" fillId="0" borderId="20" xfId="0" applyBorder="1" applyAlignment="1">
      <alignment horizontal="left" indent="2"/>
    </xf>
    <xf numFmtId="0" fontId="0" fillId="0" borderId="47" xfId="0" applyBorder="1"/>
    <xf numFmtId="0" fontId="19" fillId="0" borderId="0" xfId="0" quotePrefix="1" applyFont="1" applyAlignment="1">
      <alignment horizontal="right"/>
    </xf>
    <xf numFmtId="168" fontId="19" fillId="0" borderId="0" xfId="0" applyNumberFormat="1" applyFont="1" applyAlignment="1">
      <alignment horizontal="left"/>
    </xf>
    <xf numFmtId="170" fontId="0" fillId="0" borderId="0" xfId="0" applyNumberFormat="1" applyAlignment="1">
      <alignment horizontal="left"/>
    </xf>
    <xf numFmtId="169" fontId="19" fillId="0" borderId="0" xfId="0" applyNumberFormat="1" applyFont="1" applyAlignment="1">
      <alignment horizontal="left"/>
    </xf>
    <xf numFmtId="0" fontId="0" fillId="0" borderId="42" xfId="0" applyBorder="1"/>
    <xf numFmtId="166" fontId="0" fillId="0" borderId="11" xfId="0" applyNumberFormat="1" applyBorder="1" applyAlignment="1">
      <alignment horizontal="center"/>
    </xf>
    <xf numFmtId="166" fontId="0" fillId="0" borderId="23" xfId="0" applyNumberFormat="1" applyBorder="1" applyAlignment="1">
      <alignment horizontal="center"/>
    </xf>
    <xf numFmtId="166" fontId="0" fillId="0" borderId="26" xfId="0" applyNumberFormat="1" applyBorder="1" applyAlignment="1">
      <alignment horizontal="center"/>
    </xf>
    <xf numFmtId="0" fontId="0" fillId="0" borderId="50" xfId="0" applyBorder="1" applyAlignment="1">
      <alignment horizontal="center"/>
    </xf>
    <xf numFmtId="0" fontId="0" fillId="0" borderId="53" xfId="0" applyBorder="1" applyAlignment="1">
      <alignment horizontal="center"/>
    </xf>
    <xf numFmtId="166" fontId="0" fillId="0" borderId="10" xfId="0" applyNumberFormat="1" applyBorder="1" applyAlignment="1">
      <alignment horizontal="center"/>
    </xf>
    <xf numFmtId="166" fontId="0" fillId="0" borderId="16" xfId="0" applyNumberFormat="1" applyBorder="1" applyAlignment="1">
      <alignment horizontal="center"/>
    </xf>
    <xf numFmtId="1" fontId="0" fillId="0" borderId="47" xfId="0" applyNumberFormat="1" applyBorder="1" applyAlignment="1">
      <alignment horizontal="center"/>
    </xf>
    <xf numFmtId="0" fontId="0" fillId="0" borderId="11" xfId="0" quotePrefix="1" applyBorder="1" applyAlignment="1">
      <alignment horizontal="center"/>
    </xf>
    <xf numFmtId="0" fontId="0" fillId="0" borderId="15" xfId="0" quotePrefix="1" applyFill="1" applyBorder="1" applyAlignment="1">
      <alignment horizontal="center"/>
    </xf>
    <xf numFmtId="171" fontId="0" fillId="0" borderId="0" xfId="0" applyNumberFormat="1" applyAlignment="1">
      <alignment horizontal="left"/>
    </xf>
    <xf numFmtId="171" fontId="0" fillId="0" borderId="10" xfId="0" applyNumberFormat="1" applyBorder="1" applyAlignment="1">
      <alignment horizontal="center"/>
    </xf>
    <xf numFmtId="171" fontId="0" fillId="0" borderId="11" xfId="0" applyNumberFormat="1" applyBorder="1" applyAlignment="1">
      <alignment horizontal="center"/>
    </xf>
    <xf numFmtId="171" fontId="0" fillId="0" borderId="16" xfId="0" applyNumberFormat="1" applyBorder="1" applyAlignment="1">
      <alignment horizontal="center"/>
    </xf>
    <xf numFmtId="0" fontId="0" fillId="0" borderId="0" xfId="0" quotePrefix="1" applyAlignment="1">
      <alignment horizontal="left"/>
    </xf>
    <xf numFmtId="169" fontId="0" fillId="0" borderId="0" xfId="0" applyNumberForma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Computations!$L$13</c:f>
          <c:strCache>
            <c:ptCount val="1"/>
            <c:pt idx="0">
              <c:v>Trend Projections: DeKalb County Population, 1990 to 2040</c:v>
            </c:pt>
          </c:strCache>
        </c:strRef>
      </c:tx>
      <c:layout>
        <c:manualLayout>
          <c:xMode val="edge"/>
          <c:yMode val="edge"/>
          <c:x val="0.1098454956808487"/>
          <c:y val="6.8319281363003248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20725409524109029"/>
          <c:y val="0.18981471285683926"/>
          <c:w val="0.48821174174051507"/>
          <c:h val="0.61980169645147798"/>
        </c:manualLayout>
      </c:layout>
      <c:lineChart>
        <c:grouping val="standard"/>
        <c:varyColors val="0"/>
        <c:ser>
          <c:idx val="0"/>
          <c:order val="0"/>
          <c:tx>
            <c:v>Linear</c:v>
          </c:tx>
          <c:spPr>
            <a:ln w="19050" cap="rnd">
              <a:solidFill>
                <a:schemeClr val="accent1"/>
              </a:solidFill>
              <a:round/>
            </a:ln>
            <a:effectLst/>
          </c:spPr>
          <c:marker>
            <c:symbol val="circle"/>
            <c:size val="4"/>
            <c:spPr>
              <a:solidFill>
                <a:schemeClr val="accent1"/>
              </a:solidFill>
              <a:ln w="9525">
                <a:solidFill>
                  <a:schemeClr val="accent1"/>
                </a:solidFill>
              </a:ln>
              <a:effectLst/>
            </c:spPr>
          </c:marker>
          <c:cat>
            <c:numRef>
              <c:f>[0]!Projected</c:f>
              <c:numCache>
                <c:formatCode>0</c:formatCode>
                <c:ptCount val="6"/>
                <c:pt idx="0">
                  <c:v>1990</c:v>
                </c:pt>
                <c:pt idx="1">
                  <c:v>2000</c:v>
                </c:pt>
                <c:pt idx="2">
                  <c:v>2010</c:v>
                </c:pt>
                <c:pt idx="3">
                  <c:v>2020</c:v>
                </c:pt>
                <c:pt idx="4">
                  <c:v>2030</c:v>
                </c:pt>
                <c:pt idx="5">
                  <c:v>2040</c:v>
                </c:pt>
              </c:numCache>
            </c:numRef>
          </c:cat>
          <c:val>
            <c:numRef>
              <c:f>[0]!linear.curve</c:f>
              <c:numCache>
                <c:formatCode>#,##0.000</c:formatCode>
                <c:ptCount val="6"/>
                <c:pt idx="0">
                  <c:v>561.50400000000002</c:v>
                </c:pt>
                <c:pt idx="1">
                  <c:v>634.53200000000004</c:v>
                </c:pt>
                <c:pt idx="2">
                  <c:v>707.56</c:v>
                </c:pt>
                <c:pt idx="3">
                  <c:v>780.58799999999997</c:v>
                </c:pt>
                <c:pt idx="4">
                  <c:v>853.61599999999999</c:v>
                </c:pt>
                <c:pt idx="5">
                  <c:v>926.64400000000001</c:v>
                </c:pt>
              </c:numCache>
            </c:numRef>
          </c:val>
          <c:smooth val="1"/>
          <c:extLst>
            <c:ext xmlns:c16="http://schemas.microsoft.com/office/drawing/2014/chart" uri="{C3380CC4-5D6E-409C-BE32-E72D297353CC}">
              <c16:uniqueId val="{00000000-D57C-48D2-8640-292E1F1D62AE}"/>
            </c:ext>
          </c:extLst>
        </c:ser>
        <c:ser>
          <c:idx val="2"/>
          <c:order val="1"/>
          <c:tx>
            <c:v>Geometric</c:v>
          </c:tx>
          <c:spPr>
            <a:ln w="19050" cap="rnd">
              <a:solidFill>
                <a:schemeClr val="accent3"/>
              </a:solidFill>
              <a:round/>
            </a:ln>
            <a:effectLst/>
          </c:spPr>
          <c:marker>
            <c:symbol val="circle"/>
            <c:size val="4"/>
            <c:spPr>
              <a:solidFill>
                <a:schemeClr val="accent3">
                  <a:lumMod val="75000"/>
                </a:schemeClr>
              </a:solidFill>
              <a:ln w="9525">
                <a:solidFill>
                  <a:schemeClr val="accent3">
                    <a:lumMod val="75000"/>
                  </a:schemeClr>
                </a:solidFill>
              </a:ln>
              <a:effectLst/>
            </c:spPr>
          </c:marker>
          <c:val>
            <c:numRef>
              <c:f>[0]!geometric.curve</c:f>
              <c:numCache>
                <c:formatCode>#,##0.000</c:formatCode>
                <c:ptCount val="6"/>
                <c:pt idx="0">
                  <c:v>560.62800000000004</c:v>
                </c:pt>
                <c:pt idx="1">
                  <c:v>631.19399999999996</c:v>
                </c:pt>
                <c:pt idx="2">
                  <c:v>710.64200000000005</c:v>
                </c:pt>
                <c:pt idx="3">
                  <c:v>800.09</c:v>
                </c:pt>
                <c:pt idx="4">
                  <c:v>900.79600000000005</c:v>
                </c:pt>
                <c:pt idx="5">
                  <c:v>1014.179</c:v>
                </c:pt>
              </c:numCache>
            </c:numRef>
          </c:val>
          <c:smooth val="1"/>
          <c:extLst>
            <c:ext xmlns:c16="http://schemas.microsoft.com/office/drawing/2014/chart" uri="{C3380CC4-5D6E-409C-BE32-E72D297353CC}">
              <c16:uniqueId val="{00000000-F70D-4DF1-858C-AEE609CCE9BE}"/>
            </c:ext>
          </c:extLst>
        </c:ser>
        <c:ser>
          <c:idx val="3"/>
          <c:order val="2"/>
          <c:tx>
            <c:v>Parabolic</c:v>
          </c:tx>
          <c:spPr>
            <a:ln w="19050" cap="rnd">
              <a:solidFill>
                <a:srgbClr val="FF0000"/>
              </a:solidFill>
              <a:round/>
            </a:ln>
            <a:effectLst/>
          </c:spPr>
          <c:marker>
            <c:symbol val="circle"/>
            <c:size val="4"/>
            <c:spPr>
              <a:solidFill>
                <a:srgbClr val="C00000"/>
              </a:solidFill>
              <a:ln w="9525">
                <a:solidFill>
                  <a:srgbClr val="FF0000"/>
                </a:solidFill>
              </a:ln>
              <a:effectLst/>
            </c:spPr>
          </c:marker>
          <c:val>
            <c:numRef>
              <c:f>[0]!parabolic.curve</c:f>
              <c:numCache>
                <c:formatCode>#,##0.000</c:formatCode>
                <c:ptCount val="6"/>
                <c:pt idx="0">
                  <c:v>545.83699999999999</c:v>
                </c:pt>
                <c:pt idx="1">
                  <c:v>665.86500000000001</c:v>
                </c:pt>
                <c:pt idx="2">
                  <c:v>691.89300000000003</c:v>
                </c:pt>
                <c:pt idx="3">
                  <c:v>623.92100000000005</c:v>
                </c:pt>
                <c:pt idx="4">
                  <c:v>461.94900000000001</c:v>
                </c:pt>
                <c:pt idx="5">
                  <c:v>205.977</c:v>
                </c:pt>
              </c:numCache>
            </c:numRef>
          </c:val>
          <c:smooth val="1"/>
          <c:extLst>
            <c:ext xmlns:c16="http://schemas.microsoft.com/office/drawing/2014/chart" uri="{C3380CC4-5D6E-409C-BE32-E72D297353CC}">
              <c16:uniqueId val="{00000001-F70D-4DF1-858C-AEE609CCE9BE}"/>
            </c:ext>
          </c:extLst>
        </c:ser>
        <c:ser>
          <c:idx val="4"/>
          <c:order val="3"/>
          <c:tx>
            <c:v>Gompertz</c:v>
          </c:tx>
          <c:spPr>
            <a:ln w="19050" cap="rnd">
              <a:solidFill>
                <a:schemeClr val="accent6">
                  <a:lumMod val="60000"/>
                  <a:lumOff val="40000"/>
                </a:schemeClr>
              </a:solidFill>
              <a:round/>
            </a:ln>
            <a:effectLst/>
          </c:spPr>
          <c:marker>
            <c:symbol val="circle"/>
            <c:size val="4"/>
            <c:spPr>
              <a:solidFill>
                <a:schemeClr val="accent6">
                  <a:lumMod val="75000"/>
                </a:schemeClr>
              </a:solidFill>
              <a:ln w="9525">
                <a:solidFill>
                  <a:schemeClr val="accent6">
                    <a:lumMod val="75000"/>
                  </a:schemeClr>
                </a:solidFill>
              </a:ln>
              <a:effectLst/>
            </c:spPr>
          </c:marker>
          <c:val>
            <c:numRef>
              <c:f>[0]!Gompertz.curve</c:f>
              <c:numCache>
                <c:formatCode>#,##0.000</c:formatCode>
                <c:ptCount val="6"/>
                <c:pt idx="0">
                  <c:v>562.24099999999999</c:v>
                </c:pt>
                <c:pt idx="1">
                  <c:v>638.72299999999996</c:v>
                </c:pt>
                <c:pt idx="2">
                  <c:v>703.87900000000002</c:v>
                </c:pt>
                <c:pt idx="3">
                  <c:v>757.92600000000004</c:v>
                </c:pt>
                <c:pt idx="4">
                  <c:v>801.85599999999999</c:v>
                </c:pt>
                <c:pt idx="5">
                  <c:v>837.01400000000001</c:v>
                </c:pt>
              </c:numCache>
            </c:numRef>
          </c:val>
          <c:smooth val="0"/>
          <c:extLst>
            <c:ext xmlns:c16="http://schemas.microsoft.com/office/drawing/2014/chart" uri="{C3380CC4-5D6E-409C-BE32-E72D297353CC}">
              <c16:uniqueId val="{00000002-F70D-4DF1-858C-AEE609CCE9BE}"/>
            </c:ext>
          </c:extLst>
        </c:ser>
        <c:ser>
          <c:idx val="5"/>
          <c:order val="4"/>
          <c:tx>
            <c:v>Limit</c:v>
          </c:tx>
          <c:spPr>
            <a:ln w="19050" cap="rnd">
              <a:solidFill>
                <a:schemeClr val="tx1"/>
              </a:solidFill>
              <a:prstDash val="dash"/>
              <a:round/>
            </a:ln>
            <a:effectLst/>
          </c:spPr>
          <c:marker>
            <c:symbol val="none"/>
          </c:marker>
          <c:val>
            <c:numRef>
              <c:f>[0]!Gompertz.limit</c:f>
              <c:numCache>
                <c:formatCode>#,##0.000</c:formatCode>
                <c:ptCount val="6"/>
                <c:pt idx="0">
                  <c:v>960</c:v>
                </c:pt>
                <c:pt idx="1">
                  <c:v>960</c:v>
                </c:pt>
                <c:pt idx="2">
                  <c:v>960</c:v>
                </c:pt>
                <c:pt idx="3">
                  <c:v>960</c:v>
                </c:pt>
                <c:pt idx="4">
                  <c:v>960</c:v>
                </c:pt>
                <c:pt idx="5">
                  <c:v>960</c:v>
                </c:pt>
              </c:numCache>
            </c:numRef>
          </c:val>
          <c:smooth val="0"/>
          <c:extLst>
            <c:ext xmlns:c16="http://schemas.microsoft.com/office/drawing/2014/chart" uri="{C3380CC4-5D6E-409C-BE32-E72D297353CC}">
              <c16:uniqueId val="{00000000-3F84-47C8-890F-FBB6C5204DC7}"/>
            </c:ext>
          </c:extLst>
        </c:ser>
        <c:ser>
          <c:idx val="1"/>
          <c:order val="5"/>
          <c:tx>
            <c:v>Observed</c:v>
          </c:tx>
          <c:spPr>
            <a:ln w="28575" cap="rnd">
              <a:noFill/>
              <a:round/>
            </a:ln>
            <a:effectLst/>
          </c:spPr>
          <c:marker>
            <c:symbol val="circle"/>
            <c:size val="4"/>
            <c:spPr>
              <a:solidFill>
                <a:schemeClr val="tx2"/>
              </a:solidFill>
              <a:ln w="9525">
                <a:solidFill>
                  <a:schemeClr val="tx1"/>
                </a:solidFill>
              </a:ln>
              <a:effectLst/>
            </c:spPr>
          </c:marker>
          <c:val>
            <c:numRef>
              <c:f>[0]!project.observed</c:f>
              <c:numCache>
                <c:formatCode>0.000</c:formatCode>
                <c:ptCount val="3"/>
                <c:pt idx="0">
                  <c:v>545.83699999999999</c:v>
                </c:pt>
                <c:pt idx="1">
                  <c:v>665.86500000000001</c:v>
                </c:pt>
                <c:pt idx="2">
                  <c:v>691.89300000000003</c:v>
                </c:pt>
              </c:numCache>
            </c:numRef>
          </c:val>
          <c:smooth val="0"/>
          <c:extLst>
            <c:ext xmlns:c16="http://schemas.microsoft.com/office/drawing/2014/chart" uri="{C3380CC4-5D6E-409C-BE32-E72D297353CC}">
              <c16:uniqueId val="{00000000-D264-4146-BDC1-D451C1E0B310}"/>
            </c:ext>
          </c:extLst>
        </c:ser>
        <c:dLbls>
          <c:showLegendKey val="0"/>
          <c:showVal val="0"/>
          <c:showCatName val="0"/>
          <c:showSerName val="0"/>
          <c:showPercent val="0"/>
          <c:showBubbleSize val="0"/>
        </c:dLbls>
        <c:marker val="1"/>
        <c:smooth val="0"/>
        <c:axId val="752896624"/>
        <c:axId val="752894328"/>
      </c:lineChart>
      <c:catAx>
        <c:axId val="752896624"/>
        <c:scaling>
          <c:orientation val="minMax"/>
        </c:scaling>
        <c:delete val="0"/>
        <c:axPos val="b"/>
        <c:majorGridlines>
          <c:spPr>
            <a:ln w="9525" cap="flat" cmpd="sng" algn="ctr">
              <a:solidFill>
                <a:schemeClr val="tx1"/>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Year</a:t>
                </a:r>
              </a:p>
            </c:rich>
          </c:tx>
          <c:layout>
            <c:manualLayout>
              <c:xMode val="edge"/>
              <c:yMode val="edge"/>
              <c:x val="0.41716810513087932"/>
              <c:y val="0.86011714098061387"/>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1905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2894328"/>
        <c:crosses val="autoZero"/>
        <c:auto val="1"/>
        <c:lblAlgn val="ctr"/>
        <c:lblOffset val="100"/>
        <c:noMultiLvlLbl val="0"/>
      </c:catAx>
      <c:valAx>
        <c:axId val="752894328"/>
        <c:scaling>
          <c:orientation val="minMax"/>
        </c:scaling>
        <c:delete val="0"/>
        <c:axPos val="l"/>
        <c:majorGridlines>
          <c:spPr>
            <a:ln w="9525" cap="flat" cmpd="sng" algn="ctr">
              <a:solidFill>
                <a:schemeClr val="tx1"/>
              </a:solidFill>
              <a:round/>
            </a:ln>
            <a:effectLst/>
          </c:spPr>
        </c:majorGridlines>
        <c:title>
          <c:tx>
            <c:strRef>
              <c:f>Computations!$L$15</c:f>
              <c:strCache>
                <c:ptCount val="1"/>
                <c:pt idx="0">
                  <c:v>Population (thousands)</c:v>
                </c:pt>
              </c:strCache>
            </c:strRef>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 sourceLinked="0"/>
        <c:majorTickMark val="none"/>
        <c:minorTickMark val="none"/>
        <c:tickLblPos val="nextTo"/>
        <c:spPr>
          <a:noFill/>
          <a:ln w="19050">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2896624"/>
        <c:crosses val="autoZero"/>
        <c:crossBetween val="midCat"/>
      </c:valAx>
      <c:spPr>
        <a:noFill/>
        <a:ln>
          <a:noFill/>
        </a:ln>
        <a:effectLst/>
      </c:spPr>
    </c:plotArea>
    <c:legend>
      <c:legendPos val="r"/>
      <c:layout>
        <c:manualLayout>
          <c:xMode val="edge"/>
          <c:yMode val="edge"/>
          <c:x val="0.72614712661759451"/>
          <c:y val="0.2638209227661385"/>
          <c:w val="0.17298298059473866"/>
          <c:h val="0.3245770399841281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Computations!$L$12</c:f>
          <c:strCache>
            <c:ptCount val="1"/>
            <c:pt idx="0">
              <c:v>DeKalb County Population, 1900 to 2010</c:v>
            </c:pt>
          </c:strCache>
        </c:strRef>
      </c:tx>
      <c:layout>
        <c:manualLayout>
          <c:xMode val="edge"/>
          <c:yMode val="edge"/>
          <c:x val="0.20853454168158447"/>
          <c:y val="5.0279244767245407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6555560495077723"/>
          <c:y val="0.15780031309837034"/>
          <c:w val="0.74844563822110521"/>
          <c:h val="0.69946479668222039"/>
        </c:manualLayout>
      </c:layout>
      <c:lineChart>
        <c:grouping val="standard"/>
        <c:varyColors val="0"/>
        <c:ser>
          <c:idx val="0"/>
          <c:order val="0"/>
          <c:tx>
            <c:v>Observed</c:v>
          </c:tx>
          <c:spPr>
            <a:ln w="19050" cap="rnd">
              <a:solidFill>
                <a:schemeClr val="tx2"/>
              </a:solidFill>
              <a:round/>
            </a:ln>
            <a:effectLst/>
          </c:spPr>
          <c:marker>
            <c:symbol val="circle"/>
            <c:size val="5"/>
            <c:spPr>
              <a:solidFill>
                <a:schemeClr val="tx2"/>
              </a:solidFill>
              <a:ln w="9525">
                <a:solidFill>
                  <a:schemeClr val="tx2"/>
                </a:solidFill>
              </a:ln>
              <a:effectLst/>
            </c:spPr>
          </c:marker>
          <c:cat>
            <c:numRef>
              <c:f>[0]!all.years</c:f>
              <c:numCache>
                <c:formatCode>0</c:formatCode>
                <c:ptCount val="12"/>
                <c:pt idx="0">
                  <c:v>1900</c:v>
                </c:pt>
                <c:pt idx="1">
                  <c:v>1910</c:v>
                </c:pt>
                <c:pt idx="2">
                  <c:v>1920</c:v>
                </c:pt>
                <c:pt idx="3">
                  <c:v>1930</c:v>
                </c:pt>
                <c:pt idx="4">
                  <c:v>1940</c:v>
                </c:pt>
                <c:pt idx="5">
                  <c:v>1950</c:v>
                </c:pt>
                <c:pt idx="6">
                  <c:v>1960</c:v>
                </c:pt>
                <c:pt idx="7">
                  <c:v>1970</c:v>
                </c:pt>
                <c:pt idx="8">
                  <c:v>1980</c:v>
                </c:pt>
                <c:pt idx="9">
                  <c:v>1990</c:v>
                </c:pt>
                <c:pt idx="10">
                  <c:v>2000</c:v>
                </c:pt>
                <c:pt idx="11">
                  <c:v>2010</c:v>
                </c:pt>
              </c:numCache>
            </c:numRef>
          </c:cat>
          <c:val>
            <c:numRef>
              <c:f>[0]!all.observed</c:f>
              <c:numCache>
                <c:formatCode>0.000</c:formatCode>
                <c:ptCount val="12"/>
                <c:pt idx="0">
                  <c:v>21.111999999999998</c:v>
                </c:pt>
                <c:pt idx="1">
                  <c:v>27.881</c:v>
                </c:pt>
                <c:pt idx="2">
                  <c:v>44.051000000000002</c:v>
                </c:pt>
                <c:pt idx="3">
                  <c:v>70.278000000000006</c:v>
                </c:pt>
                <c:pt idx="4">
                  <c:v>86.941999999999993</c:v>
                </c:pt>
                <c:pt idx="5">
                  <c:v>136.39500000000001</c:v>
                </c:pt>
                <c:pt idx="6">
                  <c:v>256.78199999999998</c:v>
                </c:pt>
                <c:pt idx="7">
                  <c:v>415.387</c:v>
                </c:pt>
                <c:pt idx="8">
                  <c:v>483.024</c:v>
                </c:pt>
                <c:pt idx="9">
                  <c:v>545.83699999999999</c:v>
                </c:pt>
                <c:pt idx="10">
                  <c:v>665.86500000000001</c:v>
                </c:pt>
                <c:pt idx="11">
                  <c:v>691.89300000000003</c:v>
                </c:pt>
              </c:numCache>
            </c:numRef>
          </c:val>
          <c:smooth val="0"/>
          <c:extLst>
            <c:ext xmlns:c16="http://schemas.microsoft.com/office/drawing/2014/chart" uri="{C3380CC4-5D6E-409C-BE32-E72D297353CC}">
              <c16:uniqueId val="{00000000-3A57-43D5-B5F4-715A326B6FC4}"/>
            </c:ext>
          </c:extLst>
        </c:ser>
        <c:dLbls>
          <c:showLegendKey val="0"/>
          <c:showVal val="0"/>
          <c:showCatName val="0"/>
          <c:showSerName val="0"/>
          <c:showPercent val="0"/>
          <c:showBubbleSize val="0"/>
        </c:dLbls>
        <c:marker val="1"/>
        <c:smooth val="0"/>
        <c:axId val="651912920"/>
        <c:axId val="651913576"/>
      </c:lineChart>
      <c:catAx>
        <c:axId val="651912920"/>
        <c:scaling>
          <c:orientation val="minMax"/>
        </c:scaling>
        <c:delete val="0"/>
        <c:axPos val="b"/>
        <c:majorGridlines>
          <c:spPr>
            <a:ln w="9525" cap="flat" cmpd="sng" algn="ctr">
              <a:solidFill>
                <a:schemeClr val="tx1"/>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Year</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1905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51913576"/>
        <c:crosses val="autoZero"/>
        <c:auto val="1"/>
        <c:lblAlgn val="ctr"/>
        <c:lblOffset val="100"/>
        <c:noMultiLvlLbl val="0"/>
      </c:catAx>
      <c:valAx>
        <c:axId val="651913576"/>
        <c:scaling>
          <c:orientation val="minMax"/>
        </c:scaling>
        <c:delete val="0"/>
        <c:axPos val="l"/>
        <c:majorGridlines>
          <c:spPr>
            <a:ln w="9525" cap="flat" cmpd="sng" algn="ctr">
              <a:solidFill>
                <a:schemeClr val="tx1"/>
              </a:solidFill>
              <a:round/>
            </a:ln>
            <a:effectLst/>
          </c:spPr>
        </c:majorGridlines>
        <c:title>
          <c:tx>
            <c:strRef>
              <c:f>Computations!$L$15</c:f>
              <c:strCache>
                <c:ptCount val="1"/>
                <c:pt idx="0">
                  <c:v>Population (thousands)</c:v>
                </c:pt>
              </c:strCache>
            </c:strRef>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 sourceLinked="1"/>
        <c:majorTickMark val="none"/>
        <c:minorTickMark val="none"/>
        <c:tickLblPos val="nextTo"/>
        <c:spPr>
          <a:noFill/>
          <a:ln w="19050">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51912920"/>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CheckBox" checked="Checked" fmlaLink="Computations!$M$6" lockText="1" noThreeD="1"/>
</file>

<file path=xl/ctrlProps/ctrlProp2.xml><?xml version="1.0" encoding="utf-8"?>
<formControlPr xmlns="http://schemas.microsoft.com/office/spreadsheetml/2009/9/main" objectType="CheckBox" checked="Checked" fmlaLink="Computations!$M$7" lockText="1" noThreeD="1"/>
</file>

<file path=xl/ctrlProps/ctrlProp3.xml><?xml version="1.0" encoding="utf-8"?>
<formControlPr xmlns="http://schemas.microsoft.com/office/spreadsheetml/2009/9/main" objectType="CheckBox" checked="Checked" fmlaLink="Computations!$M$8" lockText="1" noThreeD="1"/>
</file>

<file path=xl/ctrlProps/ctrlProp4.xml><?xml version="1.0" encoding="utf-8"?>
<formControlPr xmlns="http://schemas.microsoft.com/office/spreadsheetml/2009/9/main" objectType="CheckBox" checked="Checked" fmlaLink="Computations!$M$9" lockText="1" noThreeD="1"/>
</file>

<file path=xl/ctrlProps/ctrlProp5.xml><?xml version="1.0" encoding="utf-8"?>
<formControlPr xmlns="http://schemas.microsoft.com/office/spreadsheetml/2009/9/main" objectType="CheckBox" checked="Checked" fmlaLink="Computations!$M$10" lockText="1" noThreeD="1"/>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615042</xdr:colOff>
      <xdr:row>37</xdr:row>
      <xdr:rowOff>678</xdr:rowOff>
    </xdr:from>
    <xdr:to>
      <xdr:col>17</xdr:col>
      <xdr:colOff>353785</xdr:colOff>
      <xdr:row>57</xdr:row>
      <xdr:rowOff>152400</xdr:rowOff>
    </xdr:to>
    <xdr:graphicFrame macro="">
      <xdr:nvGraphicFramePr>
        <xdr:cNvPr id="4" name="Chart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476250</xdr:colOff>
      <xdr:row>37</xdr:row>
      <xdr:rowOff>21089</xdr:rowOff>
    </xdr:from>
    <xdr:to>
      <xdr:col>7</xdr:col>
      <xdr:colOff>619124</xdr:colOff>
      <xdr:row>57</xdr:row>
      <xdr:rowOff>161924</xdr:rowOff>
    </xdr:to>
    <xdr:graphicFrame macro="">
      <xdr:nvGraphicFramePr>
        <xdr:cNvPr id="2" name="Chart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10</xdr:col>
          <xdr:colOff>371475</xdr:colOff>
          <xdr:row>55</xdr:row>
          <xdr:rowOff>142875</xdr:rowOff>
        </xdr:from>
        <xdr:to>
          <xdr:col>11</xdr:col>
          <xdr:colOff>542925</xdr:colOff>
          <xdr:row>56</xdr:row>
          <xdr:rowOff>161925</xdr:rowOff>
        </xdr:to>
        <xdr:sp macro="" textlink="">
          <xdr:nvSpPr>
            <xdr:cNvPr id="1025" name="Check Box 1" descr="Linear" hidden="1">
              <a:extLst>
                <a:ext uri="{63B3BB69-23CF-44E3-9099-C40C66FF867C}">
                  <a14:compatExt spid="_x0000_s1025"/>
                </a:ext>
                <a:ext uri="{FF2B5EF4-FFF2-40B4-BE49-F238E27FC236}">
                  <a16:creationId xmlns:a16="http://schemas.microsoft.com/office/drawing/2014/main" id="{00000000-0008-0000-03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Linear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314325</xdr:colOff>
          <xdr:row>55</xdr:row>
          <xdr:rowOff>161925</xdr:rowOff>
        </xdr:from>
        <xdr:to>
          <xdr:col>12</xdr:col>
          <xdr:colOff>381000</xdr:colOff>
          <xdr:row>56</xdr:row>
          <xdr:rowOff>180975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3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Geometric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352425</xdr:colOff>
          <xdr:row>55</xdr:row>
          <xdr:rowOff>152400</xdr:rowOff>
        </xdr:from>
        <xdr:to>
          <xdr:col>13</xdr:col>
          <xdr:colOff>523875</xdr:colOff>
          <xdr:row>56</xdr:row>
          <xdr:rowOff>171450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3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Parabolic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390525</xdr:colOff>
          <xdr:row>55</xdr:row>
          <xdr:rowOff>180975</xdr:rowOff>
        </xdr:from>
        <xdr:to>
          <xdr:col>14</xdr:col>
          <xdr:colOff>561975</xdr:colOff>
          <xdr:row>57</xdr:row>
          <xdr:rowOff>9525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3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Gompterz</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533400</xdr:colOff>
          <xdr:row>55</xdr:row>
          <xdr:rowOff>171450</xdr:rowOff>
        </xdr:from>
        <xdr:to>
          <xdr:col>15</xdr:col>
          <xdr:colOff>457200</xdr:colOff>
          <xdr:row>57</xdr:row>
          <xdr:rowOff>9525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3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Limit</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dick.klosterman@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CC2101-0E97-4C61-A803-B37F9620334C}">
  <dimension ref="A1:B66"/>
  <sheetViews>
    <sheetView tabSelected="1" workbookViewId="0"/>
  </sheetViews>
  <sheetFormatPr defaultRowHeight="15" x14ac:dyDescent="0.25"/>
  <cols>
    <col min="1" max="1" width="103.85546875" customWidth="1"/>
  </cols>
  <sheetData>
    <row r="1" spans="1:2" ht="18.75" x14ac:dyDescent="0.25">
      <c r="A1" s="148" t="s">
        <v>182</v>
      </c>
    </row>
    <row r="2" spans="1:2" ht="15.75" x14ac:dyDescent="0.25">
      <c r="A2" s="149"/>
    </row>
    <row r="3" spans="1:2" ht="75" customHeight="1" x14ac:dyDescent="0.25">
      <c r="A3" s="147" t="s">
        <v>183</v>
      </c>
      <c r="B3" s="153"/>
    </row>
    <row r="4" spans="1:2" ht="15.75" x14ac:dyDescent="0.25">
      <c r="A4" s="150" t="s">
        <v>121</v>
      </c>
      <c r="B4" s="153" t="s">
        <v>129</v>
      </c>
    </row>
    <row r="5" spans="1:2" ht="15.75" x14ac:dyDescent="0.25">
      <c r="A5" s="147"/>
    </row>
    <row r="6" spans="1:2" ht="15.75" x14ac:dyDescent="0.25">
      <c r="A6" s="150" t="s">
        <v>139</v>
      </c>
      <c r="B6" s="153" t="s">
        <v>130</v>
      </c>
    </row>
    <row r="7" spans="1:2" ht="15.75" x14ac:dyDescent="0.25">
      <c r="A7" s="150"/>
      <c r="B7" s="153"/>
    </row>
    <row r="8" spans="1:2" ht="15.75" x14ac:dyDescent="0.25">
      <c r="A8" s="151" t="s">
        <v>122</v>
      </c>
    </row>
    <row r="9" spans="1:2" ht="15.75" x14ac:dyDescent="0.25">
      <c r="A9" s="152"/>
    </row>
    <row r="10" spans="1:2" ht="15.75" x14ac:dyDescent="0.25">
      <c r="A10" s="152" t="s">
        <v>184</v>
      </c>
    </row>
    <row r="11" spans="1:2" ht="15.75" x14ac:dyDescent="0.25">
      <c r="A11" s="152"/>
    </row>
    <row r="12" spans="1:2" ht="31.5" x14ac:dyDescent="0.25">
      <c r="A12" s="152" t="s">
        <v>185</v>
      </c>
    </row>
    <row r="13" spans="1:2" ht="15.75" x14ac:dyDescent="0.25">
      <c r="A13" s="152"/>
    </row>
    <row r="14" spans="1:2" ht="15.75" x14ac:dyDescent="0.25">
      <c r="A14" s="152" t="s">
        <v>123</v>
      </c>
    </row>
    <row r="15" spans="1:2" ht="15.75" x14ac:dyDescent="0.25">
      <c r="A15" s="152"/>
    </row>
    <row r="16" spans="1:2" ht="63" x14ac:dyDescent="0.25">
      <c r="A16" s="152" t="s">
        <v>180</v>
      </c>
    </row>
    <row r="17" spans="1:1" ht="15.75" x14ac:dyDescent="0.25">
      <c r="A17" s="152"/>
    </row>
    <row r="18" spans="1:1" ht="31.5" x14ac:dyDescent="0.25">
      <c r="A18" s="152" t="s">
        <v>136</v>
      </c>
    </row>
    <row r="19" spans="1:1" ht="15.75" x14ac:dyDescent="0.25">
      <c r="A19" s="152"/>
    </row>
    <row r="20" spans="1:1" ht="15.75" x14ac:dyDescent="0.25">
      <c r="A20" s="151" t="s">
        <v>124</v>
      </c>
    </row>
    <row r="21" spans="1:1" ht="15.75" x14ac:dyDescent="0.25">
      <c r="A21" s="152"/>
    </row>
    <row r="22" spans="1:1" ht="47.25" x14ac:dyDescent="0.25">
      <c r="A22" s="152" t="s">
        <v>145</v>
      </c>
    </row>
    <row r="23" spans="1:1" ht="15.75" x14ac:dyDescent="0.25">
      <c r="A23" s="152"/>
    </row>
    <row r="24" spans="1:1" ht="15.75" x14ac:dyDescent="0.25">
      <c r="A24" s="152" t="s">
        <v>140</v>
      </c>
    </row>
    <row r="25" spans="1:1" ht="15.75" x14ac:dyDescent="0.25">
      <c r="A25" s="152"/>
    </row>
    <row r="26" spans="1:1" ht="15.75" x14ac:dyDescent="0.25">
      <c r="A26" s="152" t="s">
        <v>125</v>
      </c>
    </row>
    <row r="27" spans="1:1" ht="15.75" x14ac:dyDescent="0.25">
      <c r="A27" s="152"/>
    </row>
    <row r="28" spans="1:1" ht="31.5" x14ac:dyDescent="0.25">
      <c r="A28" s="152" t="s">
        <v>126</v>
      </c>
    </row>
    <row r="29" spans="1:1" ht="15.75" x14ac:dyDescent="0.25">
      <c r="A29" s="152"/>
    </row>
    <row r="30" spans="1:1" ht="15.75" x14ac:dyDescent="0.25">
      <c r="A30" s="152" t="s">
        <v>152</v>
      </c>
    </row>
    <row r="31" spans="1:1" ht="15.75" x14ac:dyDescent="0.25">
      <c r="A31" s="152"/>
    </row>
    <row r="32" spans="1:1" ht="15.75" x14ac:dyDescent="0.25">
      <c r="A32" s="152" t="s">
        <v>146</v>
      </c>
    </row>
    <row r="33" spans="1:1" ht="15.75" x14ac:dyDescent="0.25">
      <c r="A33" s="152"/>
    </row>
    <row r="34" spans="1:1" ht="15.75" x14ac:dyDescent="0.25">
      <c r="A34" s="152" t="s">
        <v>147</v>
      </c>
    </row>
    <row r="35" spans="1:1" ht="15.75" x14ac:dyDescent="0.25">
      <c r="A35" s="152"/>
    </row>
    <row r="36" spans="1:1" ht="31.5" x14ac:dyDescent="0.25">
      <c r="A36" s="152" t="s">
        <v>148</v>
      </c>
    </row>
    <row r="37" spans="1:1" ht="15.75" x14ac:dyDescent="0.25">
      <c r="A37" s="152"/>
    </row>
    <row r="38" spans="1:1" ht="31.5" x14ac:dyDescent="0.25">
      <c r="A38" s="152" t="s">
        <v>149</v>
      </c>
    </row>
    <row r="39" spans="1:1" ht="15.75" x14ac:dyDescent="0.25">
      <c r="A39" s="152"/>
    </row>
    <row r="40" spans="1:1" ht="15.75" x14ac:dyDescent="0.25">
      <c r="A40" s="152" t="s">
        <v>150</v>
      </c>
    </row>
    <row r="41" spans="1:1" ht="15.75" x14ac:dyDescent="0.25">
      <c r="A41" s="152"/>
    </row>
    <row r="42" spans="1:1" ht="31.5" x14ac:dyDescent="0.25">
      <c r="A42" s="152" t="s">
        <v>186</v>
      </c>
    </row>
    <row r="43" spans="1:1" ht="15.75" x14ac:dyDescent="0.25">
      <c r="A43" s="152"/>
    </row>
    <row r="44" spans="1:1" ht="31.5" x14ac:dyDescent="0.25">
      <c r="A44" s="152" t="s">
        <v>151</v>
      </c>
    </row>
    <row r="45" spans="1:1" ht="15.75" x14ac:dyDescent="0.25">
      <c r="A45" s="152"/>
    </row>
    <row r="46" spans="1:1" ht="47.25" x14ac:dyDescent="0.25">
      <c r="A46" s="152" t="s">
        <v>141</v>
      </c>
    </row>
    <row r="47" spans="1:1" ht="15.75" x14ac:dyDescent="0.25">
      <c r="A47" s="152"/>
    </row>
    <row r="48" spans="1:1" ht="31.5" x14ac:dyDescent="0.25">
      <c r="A48" s="152" t="s">
        <v>127</v>
      </c>
    </row>
    <row r="49" spans="1:1" ht="15.75" x14ac:dyDescent="0.25">
      <c r="A49" s="152"/>
    </row>
    <row r="50" spans="1:1" ht="15.75" x14ac:dyDescent="0.25">
      <c r="A50" s="151" t="s">
        <v>128</v>
      </c>
    </row>
    <row r="51" spans="1:1" ht="15.75" x14ac:dyDescent="0.25">
      <c r="A51" s="152"/>
    </row>
    <row r="52" spans="1:1" ht="47.25" x14ac:dyDescent="0.25">
      <c r="A52" s="152" t="s">
        <v>137</v>
      </c>
    </row>
    <row r="53" spans="1:1" ht="15.75" x14ac:dyDescent="0.25">
      <c r="A53" s="152"/>
    </row>
    <row r="54" spans="1:1" ht="15.75" x14ac:dyDescent="0.25">
      <c r="A54" s="152" t="s">
        <v>187</v>
      </c>
    </row>
    <row r="55" spans="1:1" ht="15.75" x14ac:dyDescent="0.25">
      <c r="A55" s="152"/>
    </row>
    <row r="56" spans="1:1" ht="31.5" x14ac:dyDescent="0.25">
      <c r="A56" s="152" t="s">
        <v>133</v>
      </c>
    </row>
    <row r="57" spans="1:1" ht="15.75" x14ac:dyDescent="0.25">
      <c r="A57" s="152"/>
    </row>
    <row r="58" spans="1:1" ht="31.5" x14ac:dyDescent="0.25">
      <c r="A58" s="152" t="s">
        <v>188</v>
      </c>
    </row>
    <row r="59" spans="1:1" ht="15.75" x14ac:dyDescent="0.25">
      <c r="A59" s="152"/>
    </row>
    <row r="60" spans="1:1" ht="47.25" x14ac:dyDescent="0.25">
      <c r="A60" s="152" t="s">
        <v>189</v>
      </c>
    </row>
    <row r="61" spans="1:1" ht="15.75" x14ac:dyDescent="0.25">
      <c r="A61" s="152"/>
    </row>
    <row r="62" spans="1:1" ht="47.25" x14ac:dyDescent="0.25">
      <c r="A62" s="152" t="s">
        <v>134</v>
      </c>
    </row>
    <row r="64" spans="1:1" ht="15.75" customHeight="1" x14ac:dyDescent="0.25">
      <c r="A64" s="157" t="s">
        <v>135</v>
      </c>
    </row>
    <row r="66" spans="1:1" ht="60" x14ac:dyDescent="0.25">
      <c r="A66" s="157" t="s">
        <v>132</v>
      </c>
    </row>
  </sheetData>
  <sheetProtection password="DF21" sheet="1" formatCells="0" formatColumns="0" formatRows="0"/>
  <hyperlinks>
    <hyperlink ref="B6" r:id="rId1" xr:uid="{232D7C28-73B9-488F-90C9-D382B26CAD1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35"/>
  <sheetViews>
    <sheetView workbookViewId="0"/>
  </sheetViews>
  <sheetFormatPr defaultRowHeight="15" x14ac:dyDescent="0.25"/>
  <cols>
    <col min="2" max="2" width="21.42578125" customWidth="1"/>
    <col min="3" max="3" width="15.5703125" customWidth="1"/>
    <col min="4" max="4" width="11.7109375" customWidth="1"/>
    <col min="5" max="5" width="20.28515625" customWidth="1"/>
    <col min="6" max="6" width="20" customWidth="1"/>
    <col min="7" max="7" width="22.7109375" customWidth="1"/>
    <col min="8" max="8" width="16" bestFit="1" customWidth="1"/>
  </cols>
  <sheetData>
    <row r="1" spans="2:8" ht="15.75" thickBot="1" x14ac:dyDescent="0.3"/>
    <row r="2" spans="2:8" ht="15.75" thickTop="1" x14ac:dyDescent="0.25">
      <c r="B2" s="83" t="s">
        <v>96</v>
      </c>
      <c r="C2" s="84"/>
      <c r="D2" s="84"/>
      <c r="E2" s="84"/>
      <c r="F2" s="84"/>
      <c r="G2" s="84"/>
      <c r="H2" s="85"/>
    </row>
    <row r="3" spans="2:8" x14ac:dyDescent="0.25">
      <c r="B3" s="66"/>
      <c r="H3" s="62"/>
    </row>
    <row r="4" spans="2:8" x14ac:dyDescent="0.25">
      <c r="B4" s="63" t="s">
        <v>110</v>
      </c>
      <c r="C4" t="str">
        <f>area&amp;" "&amp;variable&amp;", "&amp;first.year&amp;" to "&amp;target.year</f>
        <v>DeKalb County Population, 1900 to 2040</v>
      </c>
      <c r="H4" s="62"/>
    </row>
    <row r="5" spans="2:8" ht="15.75" thickBot="1" x14ac:dyDescent="0.3">
      <c r="B5" s="66"/>
      <c r="D5" s="1"/>
      <c r="E5" s="1"/>
      <c r="F5" s="1"/>
      <c r="G5" s="1"/>
      <c r="H5" s="70"/>
    </row>
    <row r="6" spans="2:8" x14ac:dyDescent="0.25">
      <c r="B6" s="63" t="s">
        <v>102</v>
      </c>
      <c r="C6" s="155" t="s">
        <v>114</v>
      </c>
      <c r="D6" s="1"/>
      <c r="E6" s="107" t="s">
        <v>113</v>
      </c>
      <c r="F6" s="141" t="s">
        <v>153</v>
      </c>
      <c r="G6" s="20" t="s">
        <v>112</v>
      </c>
      <c r="H6" s="71"/>
    </row>
    <row r="7" spans="2:8" x14ac:dyDescent="0.25">
      <c r="B7" s="63" t="s">
        <v>103</v>
      </c>
      <c r="C7" s="155" t="s">
        <v>115</v>
      </c>
      <c r="D7" s="1"/>
      <c r="E7" s="108" t="s">
        <v>111</v>
      </c>
      <c r="F7" s="140"/>
      <c r="G7" s="21" t="str">
        <f>IF(units ="",variable,variable&amp;" ("&amp;units&amp;")")</f>
        <v>Population (thousands)</v>
      </c>
      <c r="H7" s="72"/>
    </row>
    <row r="8" spans="2:8" x14ac:dyDescent="0.25">
      <c r="B8" s="64" t="s">
        <v>142</v>
      </c>
      <c r="C8" s="155" t="s">
        <v>143</v>
      </c>
      <c r="D8" s="1"/>
      <c r="E8" s="110" t="s">
        <v>2</v>
      </c>
      <c r="F8" s="142" t="s">
        <v>3</v>
      </c>
      <c r="G8" s="44" t="s">
        <v>4</v>
      </c>
      <c r="H8" s="72"/>
    </row>
    <row r="9" spans="2:8" x14ac:dyDescent="0.25">
      <c r="B9" s="63" t="s">
        <v>104</v>
      </c>
      <c r="C9" s="155">
        <v>1900</v>
      </c>
      <c r="E9" s="58">
        <f>first.year</f>
        <v>1900</v>
      </c>
      <c r="F9" s="59" t="str">
        <f t="shared" ref="F9:F33" si="0">IF(E9&lt;base.year,"",IF(9=base.year,base.year,IF(E9&lt;=launch.year,E9,"")))</f>
        <v/>
      </c>
      <c r="G9" s="144">
        <v>21.111999999999998</v>
      </c>
      <c r="H9" s="72"/>
    </row>
    <row r="10" spans="2:8" x14ac:dyDescent="0.25">
      <c r="B10" s="64" t="s">
        <v>105</v>
      </c>
      <c r="C10" s="155">
        <v>2010</v>
      </c>
      <c r="E10" s="58">
        <f t="shared" ref="E10:E33" si="1">IF(E9&gt;=last.year,"",IF(E9+interval.obs&lt;=last.year,E9+interval.obs,""))</f>
        <v>1910</v>
      </c>
      <c r="F10" s="59" t="str">
        <f t="shared" si="0"/>
        <v/>
      </c>
      <c r="G10" s="144">
        <v>27.881</v>
      </c>
      <c r="H10" s="72"/>
    </row>
    <row r="11" spans="2:8" x14ac:dyDescent="0.25">
      <c r="B11" s="63" t="s">
        <v>106</v>
      </c>
      <c r="C11" s="155">
        <v>1990</v>
      </c>
      <c r="E11" s="58">
        <f t="shared" si="1"/>
        <v>1920</v>
      </c>
      <c r="F11" s="59" t="str">
        <f t="shared" si="0"/>
        <v/>
      </c>
      <c r="G11" s="144">
        <v>44.051000000000002</v>
      </c>
      <c r="H11" s="72"/>
    </row>
    <row r="12" spans="2:8" x14ac:dyDescent="0.25">
      <c r="B12" s="65" t="s">
        <v>107</v>
      </c>
      <c r="C12" s="155">
        <v>2010</v>
      </c>
      <c r="E12" s="58">
        <f t="shared" si="1"/>
        <v>1930</v>
      </c>
      <c r="F12" s="59" t="str">
        <f t="shared" si="0"/>
        <v/>
      </c>
      <c r="G12" s="144">
        <v>70.278000000000006</v>
      </c>
      <c r="H12" s="72"/>
    </row>
    <row r="13" spans="2:8" x14ac:dyDescent="0.25">
      <c r="B13" s="64" t="s">
        <v>108</v>
      </c>
      <c r="C13" s="155">
        <v>2040</v>
      </c>
      <c r="E13" s="58">
        <f t="shared" si="1"/>
        <v>1940</v>
      </c>
      <c r="F13" s="59" t="str">
        <f t="shared" si="0"/>
        <v/>
      </c>
      <c r="G13" s="144">
        <v>86.941999999999993</v>
      </c>
      <c r="H13" s="72"/>
    </row>
    <row r="14" spans="2:8" x14ac:dyDescent="0.25">
      <c r="B14" s="64" t="s">
        <v>109</v>
      </c>
      <c r="C14" s="155">
        <v>10</v>
      </c>
      <c r="E14" s="58">
        <f t="shared" si="1"/>
        <v>1950</v>
      </c>
      <c r="F14" s="59" t="str">
        <f t="shared" si="0"/>
        <v/>
      </c>
      <c r="G14" s="144">
        <v>136.39500000000001</v>
      </c>
      <c r="H14" s="72"/>
    </row>
    <row r="15" spans="2:8" x14ac:dyDescent="0.25">
      <c r="B15" s="64" t="s">
        <v>119</v>
      </c>
      <c r="C15" s="156">
        <v>960</v>
      </c>
      <c r="E15" s="58">
        <f t="shared" si="1"/>
        <v>1960</v>
      </c>
      <c r="F15" s="59" t="str">
        <f t="shared" si="0"/>
        <v/>
      </c>
      <c r="G15" s="144">
        <v>256.78199999999998</v>
      </c>
      <c r="H15" s="72"/>
    </row>
    <row r="16" spans="2:8" x14ac:dyDescent="0.25">
      <c r="B16" s="66"/>
      <c r="E16" s="58">
        <f t="shared" si="1"/>
        <v>1970</v>
      </c>
      <c r="F16" s="59" t="str">
        <f t="shared" si="0"/>
        <v/>
      </c>
      <c r="G16" s="144">
        <v>415.387</v>
      </c>
      <c r="H16" s="72"/>
    </row>
    <row r="17" spans="2:8" x14ac:dyDescent="0.25">
      <c r="B17" s="66"/>
      <c r="E17" s="58">
        <f t="shared" si="1"/>
        <v>1980</v>
      </c>
      <c r="F17" s="59" t="str">
        <f t="shared" si="0"/>
        <v/>
      </c>
      <c r="G17" s="144">
        <v>483.024</v>
      </c>
      <c r="H17" s="72"/>
    </row>
    <row r="18" spans="2:8" x14ac:dyDescent="0.25">
      <c r="B18" s="66"/>
      <c r="E18" s="58">
        <f t="shared" si="1"/>
        <v>1990</v>
      </c>
      <c r="F18" s="59">
        <f t="shared" si="0"/>
        <v>1990</v>
      </c>
      <c r="G18" s="145">
        <v>545.83699999999999</v>
      </c>
      <c r="H18" s="72"/>
    </row>
    <row r="19" spans="2:8" x14ac:dyDescent="0.25">
      <c r="B19" s="66"/>
      <c r="E19" s="58">
        <f t="shared" si="1"/>
        <v>2000</v>
      </c>
      <c r="F19" s="59">
        <f t="shared" si="0"/>
        <v>2000</v>
      </c>
      <c r="G19" s="145">
        <v>665.86500000000001</v>
      </c>
      <c r="H19" s="72"/>
    </row>
    <row r="20" spans="2:8" x14ac:dyDescent="0.25">
      <c r="B20" s="66"/>
      <c r="E20" s="58">
        <f t="shared" si="1"/>
        <v>2010</v>
      </c>
      <c r="F20" s="59">
        <f t="shared" si="0"/>
        <v>2010</v>
      </c>
      <c r="G20" s="145">
        <v>691.89300000000003</v>
      </c>
      <c r="H20" s="72"/>
    </row>
    <row r="21" spans="2:8" x14ac:dyDescent="0.25">
      <c r="B21" s="66"/>
      <c r="E21" s="58" t="str">
        <f t="shared" si="1"/>
        <v/>
      </c>
      <c r="F21" s="59" t="str">
        <f t="shared" si="0"/>
        <v/>
      </c>
      <c r="G21" s="145"/>
      <c r="H21" s="72"/>
    </row>
    <row r="22" spans="2:8" x14ac:dyDescent="0.25">
      <c r="B22" s="66"/>
      <c r="E22" s="58" t="str">
        <f t="shared" si="1"/>
        <v/>
      </c>
      <c r="F22" s="59" t="str">
        <f t="shared" si="0"/>
        <v/>
      </c>
      <c r="G22" s="145"/>
      <c r="H22" s="72"/>
    </row>
    <row r="23" spans="2:8" x14ac:dyDescent="0.25">
      <c r="B23" s="66"/>
      <c r="E23" s="58" t="str">
        <f t="shared" si="1"/>
        <v/>
      </c>
      <c r="F23" s="59" t="str">
        <f t="shared" si="0"/>
        <v/>
      </c>
      <c r="G23" s="145"/>
      <c r="H23" s="72"/>
    </row>
    <row r="24" spans="2:8" x14ac:dyDescent="0.25">
      <c r="B24" s="66"/>
      <c r="E24" s="58" t="str">
        <f t="shared" si="1"/>
        <v/>
      </c>
      <c r="F24" s="59" t="str">
        <f t="shared" si="0"/>
        <v/>
      </c>
      <c r="G24" s="145"/>
      <c r="H24" s="72"/>
    </row>
    <row r="25" spans="2:8" x14ac:dyDescent="0.25">
      <c r="B25" s="66"/>
      <c r="E25" s="58" t="str">
        <f t="shared" si="1"/>
        <v/>
      </c>
      <c r="F25" s="59" t="str">
        <f t="shared" si="0"/>
        <v/>
      </c>
      <c r="G25" s="145"/>
      <c r="H25" s="72"/>
    </row>
    <row r="26" spans="2:8" x14ac:dyDescent="0.25">
      <c r="B26" s="66"/>
      <c r="E26" s="58" t="str">
        <f t="shared" si="1"/>
        <v/>
      </c>
      <c r="F26" s="59" t="str">
        <f t="shared" si="0"/>
        <v/>
      </c>
      <c r="G26" s="145"/>
      <c r="H26" s="72"/>
    </row>
    <row r="27" spans="2:8" x14ac:dyDescent="0.25">
      <c r="B27" s="66"/>
      <c r="E27" s="58" t="str">
        <f t="shared" si="1"/>
        <v/>
      </c>
      <c r="F27" s="59" t="str">
        <f t="shared" si="0"/>
        <v/>
      </c>
      <c r="G27" s="145"/>
      <c r="H27" s="72"/>
    </row>
    <row r="28" spans="2:8" x14ac:dyDescent="0.25">
      <c r="B28" s="66"/>
      <c r="E28" s="58" t="str">
        <f t="shared" si="1"/>
        <v/>
      </c>
      <c r="F28" s="59" t="str">
        <f t="shared" si="0"/>
        <v/>
      </c>
      <c r="G28" s="145"/>
      <c r="H28" s="72"/>
    </row>
    <row r="29" spans="2:8" x14ac:dyDescent="0.25">
      <c r="B29" s="66"/>
      <c r="E29" s="58" t="str">
        <f t="shared" si="1"/>
        <v/>
      </c>
      <c r="F29" s="59" t="str">
        <f t="shared" si="0"/>
        <v/>
      </c>
      <c r="G29" s="145"/>
      <c r="H29" s="72"/>
    </row>
    <row r="30" spans="2:8" x14ac:dyDescent="0.25">
      <c r="B30" s="66"/>
      <c r="E30" s="58" t="str">
        <f t="shared" si="1"/>
        <v/>
      </c>
      <c r="F30" s="59" t="str">
        <f t="shared" si="0"/>
        <v/>
      </c>
      <c r="G30" s="145"/>
      <c r="H30" s="72"/>
    </row>
    <row r="31" spans="2:8" x14ac:dyDescent="0.25">
      <c r="B31" s="66"/>
      <c r="E31" s="58" t="str">
        <f t="shared" si="1"/>
        <v/>
      </c>
      <c r="F31" s="59" t="str">
        <f t="shared" si="0"/>
        <v/>
      </c>
      <c r="G31" s="145"/>
      <c r="H31" s="72"/>
    </row>
    <row r="32" spans="2:8" x14ac:dyDescent="0.25">
      <c r="B32" s="66"/>
      <c r="E32" s="58" t="str">
        <f t="shared" si="1"/>
        <v/>
      </c>
      <c r="F32" s="59" t="str">
        <f t="shared" si="0"/>
        <v/>
      </c>
      <c r="G32" s="145"/>
      <c r="H32" s="72"/>
    </row>
    <row r="33" spans="2:8" ht="15.75" thickBot="1" x14ac:dyDescent="0.3">
      <c r="B33" s="66"/>
      <c r="E33" s="60" t="str">
        <f t="shared" si="1"/>
        <v/>
      </c>
      <c r="F33" s="61" t="str">
        <f t="shared" si="0"/>
        <v/>
      </c>
      <c r="G33" s="146"/>
      <c r="H33" s="62"/>
    </row>
    <row r="34" spans="2:8" ht="15.75" thickBot="1" x14ac:dyDescent="0.3">
      <c r="B34" s="67"/>
      <c r="C34" s="68"/>
      <c r="D34" s="68"/>
      <c r="E34" s="68"/>
      <c r="F34" s="68"/>
      <c r="G34" s="68"/>
      <c r="H34" s="69"/>
    </row>
    <row r="35" spans="2:8" ht="15.75" thickTop="1" x14ac:dyDescent="0.25"/>
  </sheetData>
  <sheetProtection password="DF21" sheet="1" formatCells="0" formatColumns="0" formatRows="0"/>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U557"/>
  <sheetViews>
    <sheetView workbookViewId="0"/>
  </sheetViews>
  <sheetFormatPr defaultColWidth="12.7109375" defaultRowHeight="15" x14ac:dyDescent="0.25"/>
  <cols>
    <col min="2" max="2" width="12" customWidth="1"/>
    <col min="3" max="3" width="17.85546875" customWidth="1"/>
    <col min="4" max="4" width="15.28515625" customWidth="1"/>
    <col min="5" max="5" width="12.7109375" customWidth="1"/>
    <col min="6" max="6" width="13" customWidth="1"/>
    <col min="7" max="7" width="15" bestFit="1" customWidth="1"/>
    <col min="8" max="8" width="11.28515625" customWidth="1"/>
    <col min="9" max="9" width="16.7109375" customWidth="1"/>
    <col min="10" max="10" width="12.7109375" customWidth="1"/>
    <col min="11" max="11" width="13.28515625" bestFit="1" customWidth="1"/>
    <col min="12" max="12" width="12.7109375" customWidth="1"/>
    <col min="13" max="13" width="13.28515625" customWidth="1"/>
    <col min="14" max="15" width="12" customWidth="1"/>
    <col min="16" max="16" width="13.140625" customWidth="1"/>
    <col min="23" max="23" width="13.5703125" customWidth="1"/>
    <col min="33" max="33" width="14" bestFit="1" customWidth="1"/>
    <col min="58" max="58" width="14" bestFit="1" customWidth="1"/>
    <col min="63" max="63" width="14" bestFit="1" customWidth="1"/>
    <col min="68" max="68" width="14" bestFit="1" customWidth="1"/>
    <col min="73" max="73" width="14" bestFit="1" customWidth="1"/>
    <col min="258" max="258" width="12" customWidth="1"/>
    <col min="259" max="259" width="12.7109375" customWidth="1"/>
    <col min="260" max="260" width="15.28515625" customWidth="1"/>
    <col min="261" max="261" width="12.7109375" customWidth="1"/>
    <col min="262" max="263" width="10.85546875" customWidth="1"/>
    <col min="264" max="264" width="12.7109375" customWidth="1"/>
    <col min="265" max="265" width="12" customWidth="1"/>
    <col min="266" max="266" width="12.7109375" customWidth="1"/>
    <col min="267" max="267" width="10.85546875" customWidth="1"/>
    <col min="268" max="268" width="12.7109375" customWidth="1"/>
    <col min="269" max="269" width="10.85546875" customWidth="1"/>
    <col min="270" max="271" width="12" customWidth="1"/>
    <col min="272" max="272" width="13.140625" customWidth="1"/>
    <col min="514" max="514" width="12" customWidth="1"/>
    <col min="515" max="515" width="12.7109375" customWidth="1"/>
    <col min="516" max="516" width="15.28515625" customWidth="1"/>
    <col min="517" max="517" width="12.7109375" customWidth="1"/>
    <col min="518" max="519" width="10.85546875" customWidth="1"/>
    <col min="520" max="520" width="12.7109375" customWidth="1"/>
    <col min="521" max="521" width="12" customWidth="1"/>
    <col min="522" max="522" width="12.7109375" customWidth="1"/>
    <col min="523" max="523" width="10.85546875" customWidth="1"/>
    <col min="524" max="524" width="12.7109375" customWidth="1"/>
    <col min="525" max="525" width="10.85546875" customWidth="1"/>
    <col min="526" max="527" width="12" customWidth="1"/>
    <col min="528" max="528" width="13.140625" customWidth="1"/>
    <col min="770" max="770" width="12" customWidth="1"/>
    <col min="771" max="771" width="12.7109375" customWidth="1"/>
    <col min="772" max="772" width="15.28515625" customWidth="1"/>
    <col min="773" max="773" width="12.7109375" customWidth="1"/>
    <col min="774" max="775" width="10.85546875" customWidth="1"/>
    <col min="776" max="776" width="12.7109375" customWidth="1"/>
    <col min="777" max="777" width="12" customWidth="1"/>
    <col min="778" max="778" width="12.7109375" customWidth="1"/>
    <col min="779" max="779" width="10.85546875" customWidth="1"/>
    <col min="780" max="780" width="12.7109375" customWidth="1"/>
    <col min="781" max="781" width="10.85546875" customWidth="1"/>
    <col min="782" max="783" width="12" customWidth="1"/>
    <col min="784" max="784" width="13.140625" customWidth="1"/>
    <col min="1026" max="1026" width="12" customWidth="1"/>
    <col min="1027" max="1027" width="12.7109375" customWidth="1"/>
    <col min="1028" max="1028" width="15.28515625" customWidth="1"/>
    <col min="1029" max="1029" width="12.7109375" customWidth="1"/>
    <col min="1030" max="1031" width="10.85546875" customWidth="1"/>
    <col min="1032" max="1032" width="12.7109375" customWidth="1"/>
    <col min="1033" max="1033" width="12" customWidth="1"/>
    <col min="1034" max="1034" width="12.7109375" customWidth="1"/>
    <col min="1035" max="1035" width="10.85546875" customWidth="1"/>
    <col min="1036" max="1036" width="12.7109375" customWidth="1"/>
    <col min="1037" max="1037" width="10.85546875" customWidth="1"/>
    <col min="1038" max="1039" width="12" customWidth="1"/>
    <col min="1040" max="1040" width="13.140625" customWidth="1"/>
    <col min="1282" max="1282" width="12" customWidth="1"/>
    <col min="1283" max="1283" width="12.7109375" customWidth="1"/>
    <col min="1284" max="1284" width="15.28515625" customWidth="1"/>
    <col min="1285" max="1285" width="12.7109375" customWidth="1"/>
    <col min="1286" max="1287" width="10.85546875" customWidth="1"/>
    <col min="1288" max="1288" width="12.7109375" customWidth="1"/>
    <col min="1289" max="1289" width="12" customWidth="1"/>
    <col min="1290" max="1290" width="12.7109375" customWidth="1"/>
    <col min="1291" max="1291" width="10.85546875" customWidth="1"/>
    <col min="1292" max="1292" width="12.7109375" customWidth="1"/>
    <col min="1293" max="1293" width="10.85546875" customWidth="1"/>
    <col min="1294" max="1295" width="12" customWidth="1"/>
    <col min="1296" max="1296" width="13.140625" customWidth="1"/>
    <col min="1538" max="1538" width="12" customWidth="1"/>
    <col min="1539" max="1539" width="12.7109375" customWidth="1"/>
    <col min="1540" max="1540" width="15.28515625" customWidth="1"/>
    <col min="1541" max="1541" width="12.7109375" customWidth="1"/>
    <col min="1542" max="1543" width="10.85546875" customWidth="1"/>
    <col min="1544" max="1544" width="12.7109375" customWidth="1"/>
    <col min="1545" max="1545" width="12" customWidth="1"/>
    <col min="1546" max="1546" width="12.7109375" customWidth="1"/>
    <col min="1547" max="1547" width="10.85546875" customWidth="1"/>
    <col min="1548" max="1548" width="12.7109375" customWidth="1"/>
    <col min="1549" max="1549" width="10.85546875" customWidth="1"/>
    <col min="1550" max="1551" width="12" customWidth="1"/>
    <col min="1552" max="1552" width="13.140625" customWidth="1"/>
    <col min="1794" max="1794" width="12" customWidth="1"/>
    <col min="1795" max="1795" width="12.7109375" customWidth="1"/>
    <col min="1796" max="1796" width="15.28515625" customWidth="1"/>
    <col min="1797" max="1797" width="12.7109375" customWidth="1"/>
    <col min="1798" max="1799" width="10.85546875" customWidth="1"/>
    <col min="1800" max="1800" width="12.7109375" customWidth="1"/>
    <col min="1801" max="1801" width="12" customWidth="1"/>
    <col min="1802" max="1802" width="12.7109375" customWidth="1"/>
    <col min="1803" max="1803" width="10.85546875" customWidth="1"/>
    <col min="1804" max="1804" width="12.7109375" customWidth="1"/>
    <col min="1805" max="1805" width="10.85546875" customWidth="1"/>
    <col min="1806" max="1807" width="12" customWidth="1"/>
    <col min="1808" max="1808" width="13.140625" customWidth="1"/>
    <col min="2050" max="2050" width="12" customWidth="1"/>
    <col min="2051" max="2051" width="12.7109375" customWidth="1"/>
    <col min="2052" max="2052" width="15.28515625" customWidth="1"/>
    <col min="2053" max="2053" width="12.7109375" customWidth="1"/>
    <col min="2054" max="2055" width="10.85546875" customWidth="1"/>
    <col min="2056" max="2056" width="12.7109375" customWidth="1"/>
    <col min="2057" max="2057" width="12" customWidth="1"/>
    <col min="2058" max="2058" width="12.7109375" customWidth="1"/>
    <col min="2059" max="2059" width="10.85546875" customWidth="1"/>
    <col min="2060" max="2060" width="12.7109375" customWidth="1"/>
    <col min="2061" max="2061" width="10.85546875" customWidth="1"/>
    <col min="2062" max="2063" width="12" customWidth="1"/>
    <col min="2064" max="2064" width="13.140625" customWidth="1"/>
    <col min="2306" max="2306" width="12" customWidth="1"/>
    <col min="2307" max="2307" width="12.7109375" customWidth="1"/>
    <col min="2308" max="2308" width="15.28515625" customWidth="1"/>
    <col min="2309" max="2309" width="12.7109375" customWidth="1"/>
    <col min="2310" max="2311" width="10.85546875" customWidth="1"/>
    <col min="2312" max="2312" width="12.7109375" customWidth="1"/>
    <col min="2313" max="2313" width="12" customWidth="1"/>
    <col min="2314" max="2314" width="12.7109375" customWidth="1"/>
    <col min="2315" max="2315" width="10.85546875" customWidth="1"/>
    <col min="2316" max="2316" width="12.7109375" customWidth="1"/>
    <col min="2317" max="2317" width="10.85546875" customWidth="1"/>
    <col min="2318" max="2319" width="12" customWidth="1"/>
    <col min="2320" max="2320" width="13.140625" customWidth="1"/>
    <col min="2562" max="2562" width="12" customWidth="1"/>
    <col min="2563" max="2563" width="12.7109375" customWidth="1"/>
    <col min="2564" max="2564" width="15.28515625" customWidth="1"/>
    <col min="2565" max="2565" width="12.7109375" customWidth="1"/>
    <col min="2566" max="2567" width="10.85546875" customWidth="1"/>
    <col min="2568" max="2568" width="12.7109375" customWidth="1"/>
    <col min="2569" max="2569" width="12" customWidth="1"/>
    <col min="2570" max="2570" width="12.7109375" customWidth="1"/>
    <col min="2571" max="2571" width="10.85546875" customWidth="1"/>
    <col min="2572" max="2572" width="12.7109375" customWidth="1"/>
    <col min="2573" max="2573" width="10.85546875" customWidth="1"/>
    <col min="2574" max="2575" width="12" customWidth="1"/>
    <col min="2576" max="2576" width="13.140625" customWidth="1"/>
    <col min="2818" max="2818" width="12" customWidth="1"/>
    <col min="2819" max="2819" width="12.7109375" customWidth="1"/>
    <col min="2820" max="2820" width="15.28515625" customWidth="1"/>
    <col min="2821" max="2821" width="12.7109375" customWidth="1"/>
    <col min="2822" max="2823" width="10.85546875" customWidth="1"/>
    <col min="2824" max="2824" width="12.7109375" customWidth="1"/>
    <col min="2825" max="2825" width="12" customWidth="1"/>
    <col min="2826" max="2826" width="12.7109375" customWidth="1"/>
    <col min="2827" max="2827" width="10.85546875" customWidth="1"/>
    <col min="2828" max="2828" width="12.7109375" customWidth="1"/>
    <col min="2829" max="2829" width="10.85546875" customWidth="1"/>
    <col min="2830" max="2831" width="12" customWidth="1"/>
    <col min="2832" max="2832" width="13.140625" customWidth="1"/>
    <col min="3074" max="3074" width="12" customWidth="1"/>
    <col min="3075" max="3075" width="12.7109375" customWidth="1"/>
    <col min="3076" max="3076" width="15.28515625" customWidth="1"/>
    <col min="3077" max="3077" width="12.7109375" customWidth="1"/>
    <col min="3078" max="3079" width="10.85546875" customWidth="1"/>
    <col min="3080" max="3080" width="12.7109375" customWidth="1"/>
    <col min="3081" max="3081" width="12" customWidth="1"/>
    <col min="3082" max="3082" width="12.7109375" customWidth="1"/>
    <col min="3083" max="3083" width="10.85546875" customWidth="1"/>
    <col min="3084" max="3084" width="12.7109375" customWidth="1"/>
    <col min="3085" max="3085" width="10.85546875" customWidth="1"/>
    <col min="3086" max="3087" width="12" customWidth="1"/>
    <col min="3088" max="3088" width="13.140625" customWidth="1"/>
    <col min="3330" max="3330" width="12" customWidth="1"/>
    <col min="3331" max="3331" width="12.7109375" customWidth="1"/>
    <col min="3332" max="3332" width="15.28515625" customWidth="1"/>
    <col min="3333" max="3333" width="12.7109375" customWidth="1"/>
    <col min="3334" max="3335" width="10.85546875" customWidth="1"/>
    <col min="3336" max="3336" width="12.7109375" customWidth="1"/>
    <col min="3337" max="3337" width="12" customWidth="1"/>
    <col min="3338" max="3338" width="12.7109375" customWidth="1"/>
    <col min="3339" max="3339" width="10.85546875" customWidth="1"/>
    <col min="3340" max="3340" width="12.7109375" customWidth="1"/>
    <col min="3341" max="3341" width="10.85546875" customWidth="1"/>
    <col min="3342" max="3343" width="12" customWidth="1"/>
    <col min="3344" max="3344" width="13.140625" customWidth="1"/>
    <col min="3586" max="3586" width="12" customWidth="1"/>
    <col min="3587" max="3587" width="12.7109375" customWidth="1"/>
    <col min="3588" max="3588" width="15.28515625" customWidth="1"/>
    <col min="3589" max="3589" width="12.7109375" customWidth="1"/>
    <col min="3590" max="3591" width="10.85546875" customWidth="1"/>
    <col min="3592" max="3592" width="12.7109375" customWidth="1"/>
    <col min="3593" max="3593" width="12" customWidth="1"/>
    <col min="3594" max="3594" width="12.7109375" customWidth="1"/>
    <col min="3595" max="3595" width="10.85546875" customWidth="1"/>
    <col min="3596" max="3596" width="12.7109375" customWidth="1"/>
    <col min="3597" max="3597" width="10.85546875" customWidth="1"/>
    <col min="3598" max="3599" width="12" customWidth="1"/>
    <col min="3600" max="3600" width="13.140625" customWidth="1"/>
    <col min="3842" max="3842" width="12" customWidth="1"/>
    <col min="3843" max="3843" width="12.7109375" customWidth="1"/>
    <col min="3844" max="3844" width="15.28515625" customWidth="1"/>
    <col min="3845" max="3845" width="12.7109375" customWidth="1"/>
    <col min="3846" max="3847" width="10.85546875" customWidth="1"/>
    <col min="3848" max="3848" width="12.7109375" customWidth="1"/>
    <col min="3849" max="3849" width="12" customWidth="1"/>
    <col min="3850" max="3850" width="12.7109375" customWidth="1"/>
    <col min="3851" max="3851" width="10.85546875" customWidth="1"/>
    <col min="3852" max="3852" width="12.7109375" customWidth="1"/>
    <col min="3853" max="3853" width="10.85546875" customWidth="1"/>
    <col min="3854" max="3855" width="12" customWidth="1"/>
    <col min="3856" max="3856" width="13.140625" customWidth="1"/>
    <col min="4098" max="4098" width="12" customWidth="1"/>
    <col min="4099" max="4099" width="12.7109375" customWidth="1"/>
    <col min="4100" max="4100" width="15.28515625" customWidth="1"/>
    <col min="4101" max="4101" width="12.7109375" customWidth="1"/>
    <col min="4102" max="4103" width="10.85546875" customWidth="1"/>
    <col min="4104" max="4104" width="12.7109375" customWidth="1"/>
    <col min="4105" max="4105" width="12" customWidth="1"/>
    <col min="4106" max="4106" width="12.7109375" customWidth="1"/>
    <col min="4107" max="4107" width="10.85546875" customWidth="1"/>
    <col min="4108" max="4108" width="12.7109375" customWidth="1"/>
    <col min="4109" max="4109" width="10.85546875" customWidth="1"/>
    <col min="4110" max="4111" width="12" customWidth="1"/>
    <col min="4112" max="4112" width="13.140625" customWidth="1"/>
    <col min="4354" max="4354" width="12" customWidth="1"/>
    <col min="4355" max="4355" width="12.7109375" customWidth="1"/>
    <col min="4356" max="4356" width="15.28515625" customWidth="1"/>
    <col min="4357" max="4357" width="12.7109375" customWidth="1"/>
    <col min="4358" max="4359" width="10.85546875" customWidth="1"/>
    <col min="4360" max="4360" width="12.7109375" customWidth="1"/>
    <col min="4361" max="4361" width="12" customWidth="1"/>
    <col min="4362" max="4362" width="12.7109375" customWidth="1"/>
    <col min="4363" max="4363" width="10.85546875" customWidth="1"/>
    <col min="4364" max="4364" width="12.7109375" customWidth="1"/>
    <col min="4365" max="4365" width="10.85546875" customWidth="1"/>
    <col min="4366" max="4367" width="12" customWidth="1"/>
    <col min="4368" max="4368" width="13.140625" customWidth="1"/>
    <col min="4610" max="4610" width="12" customWidth="1"/>
    <col min="4611" max="4611" width="12.7109375" customWidth="1"/>
    <col min="4612" max="4612" width="15.28515625" customWidth="1"/>
    <col min="4613" max="4613" width="12.7109375" customWidth="1"/>
    <col min="4614" max="4615" width="10.85546875" customWidth="1"/>
    <col min="4616" max="4616" width="12.7109375" customWidth="1"/>
    <col min="4617" max="4617" width="12" customWidth="1"/>
    <col min="4618" max="4618" width="12.7109375" customWidth="1"/>
    <col min="4619" max="4619" width="10.85546875" customWidth="1"/>
    <col min="4620" max="4620" width="12.7109375" customWidth="1"/>
    <col min="4621" max="4621" width="10.85546875" customWidth="1"/>
    <col min="4622" max="4623" width="12" customWidth="1"/>
    <col min="4624" max="4624" width="13.140625" customWidth="1"/>
    <col min="4866" max="4866" width="12" customWidth="1"/>
    <col min="4867" max="4867" width="12.7109375" customWidth="1"/>
    <col min="4868" max="4868" width="15.28515625" customWidth="1"/>
    <col min="4869" max="4869" width="12.7109375" customWidth="1"/>
    <col min="4870" max="4871" width="10.85546875" customWidth="1"/>
    <col min="4872" max="4872" width="12.7109375" customWidth="1"/>
    <col min="4873" max="4873" width="12" customWidth="1"/>
    <col min="4874" max="4874" width="12.7109375" customWidth="1"/>
    <col min="4875" max="4875" width="10.85546875" customWidth="1"/>
    <col min="4876" max="4876" width="12.7109375" customWidth="1"/>
    <col min="4877" max="4877" width="10.85546875" customWidth="1"/>
    <col min="4878" max="4879" width="12" customWidth="1"/>
    <col min="4880" max="4880" width="13.140625" customWidth="1"/>
    <col min="5122" max="5122" width="12" customWidth="1"/>
    <col min="5123" max="5123" width="12.7109375" customWidth="1"/>
    <col min="5124" max="5124" width="15.28515625" customWidth="1"/>
    <col min="5125" max="5125" width="12.7109375" customWidth="1"/>
    <col min="5126" max="5127" width="10.85546875" customWidth="1"/>
    <col min="5128" max="5128" width="12.7109375" customWidth="1"/>
    <col min="5129" max="5129" width="12" customWidth="1"/>
    <col min="5130" max="5130" width="12.7109375" customWidth="1"/>
    <col min="5131" max="5131" width="10.85546875" customWidth="1"/>
    <col min="5132" max="5132" width="12.7109375" customWidth="1"/>
    <col min="5133" max="5133" width="10.85546875" customWidth="1"/>
    <col min="5134" max="5135" width="12" customWidth="1"/>
    <col min="5136" max="5136" width="13.140625" customWidth="1"/>
    <col min="5378" max="5378" width="12" customWidth="1"/>
    <col min="5379" max="5379" width="12.7109375" customWidth="1"/>
    <col min="5380" max="5380" width="15.28515625" customWidth="1"/>
    <col min="5381" max="5381" width="12.7109375" customWidth="1"/>
    <col min="5382" max="5383" width="10.85546875" customWidth="1"/>
    <col min="5384" max="5384" width="12.7109375" customWidth="1"/>
    <col min="5385" max="5385" width="12" customWidth="1"/>
    <col min="5386" max="5386" width="12.7109375" customWidth="1"/>
    <col min="5387" max="5387" width="10.85546875" customWidth="1"/>
    <col min="5388" max="5388" width="12.7109375" customWidth="1"/>
    <col min="5389" max="5389" width="10.85546875" customWidth="1"/>
    <col min="5390" max="5391" width="12" customWidth="1"/>
    <col min="5392" max="5392" width="13.140625" customWidth="1"/>
    <col min="5634" max="5634" width="12" customWidth="1"/>
    <col min="5635" max="5635" width="12.7109375" customWidth="1"/>
    <col min="5636" max="5636" width="15.28515625" customWidth="1"/>
    <col min="5637" max="5637" width="12.7109375" customWidth="1"/>
    <col min="5638" max="5639" width="10.85546875" customWidth="1"/>
    <col min="5640" max="5640" width="12.7109375" customWidth="1"/>
    <col min="5641" max="5641" width="12" customWidth="1"/>
    <col min="5642" max="5642" width="12.7109375" customWidth="1"/>
    <col min="5643" max="5643" width="10.85546875" customWidth="1"/>
    <col min="5644" max="5644" width="12.7109375" customWidth="1"/>
    <col min="5645" max="5645" width="10.85546875" customWidth="1"/>
    <col min="5646" max="5647" width="12" customWidth="1"/>
    <col min="5648" max="5648" width="13.140625" customWidth="1"/>
    <col min="5890" max="5890" width="12" customWidth="1"/>
    <col min="5891" max="5891" width="12.7109375" customWidth="1"/>
    <col min="5892" max="5892" width="15.28515625" customWidth="1"/>
    <col min="5893" max="5893" width="12.7109375" customWidth="1"/>
    <col min="5894" max="5895" width="10.85546875" customWidth="1"/>
    <col min="5896" max="5896" width="12.7109375" customWidth="1"/>
    <col min="5897" max="5897" width="12" customWidth="1"/>
    <col min="5898" max="5898" width="12.7109375" customWidth="1"/>
    <col min="5899" max="5899" width="10.85546875" customWidth="1"/>
    <col min="5900" max="5900" width="12.7109375" customWidth="1"/>
    <col min="5901" max="5901" width="10.85546875" customWidth="1"/>
    <col min="5902" max="5903" width="12" customWidth="1"/>
    <col min="5904" max="5904" width="13.140625" customWidth="1"/>
    <col min="6146" max="6146" width="12" customWidth="1"/>
    <col min="6147" max="6147" width="12.7109375" customWidth="1"/>
    <col min="6148" max="6148" width="15.28515625" customWidth="1"/>
    <col min="6149" max="6149" width="12.7109375" customWidth="1"/>
    <col min="6150" max="6151" width="10.85546875" customWidth="1"/>
    <col min="6152" max="6152" width="12.7109375" customWidth="1"/>
    <col min="6153" max="6153" width="12" customWidth="1"/>
    <col min="6154" max="6154" width="12.7109375" customWidth="1"/>
    <col min="6155" max="6155" width="10.85546875" customWidth="1"/>
    <col min="6156" max="6156" width="12.7109375" customWidth="1"/>
    <col min="6157" max="6157" width="10.85546875" customWidth="1"/>
    <col min="6158" max="6159" width="12" customWidth="1"/>
    <col min="6160" max="6160" width="13.140625" customWidth="1"/>
    <col min="6402" max="6402" width="12" customWidth="1"/>
    <col min="6403" max="6403" width="12.7109375" customWidth="1"/>
    <col min="6404" max="6404" width="15.28515625" customWidth="1"/>
    <col min="6405" max="6405" width="12.7109375" customWidth="1"/>
    <col min="6406" max="6407" width="10.85546875" customWidth="1"/>
    <col min="6408" max="6408" width="12.7109375" customWidth="1"/>
    <col min="6409" max="6409" width="12" customWidth="1"/>
    <col min="6410" max="6410" width="12.7109375" customWidth="1"/>
    <col min="6411" max="6411" width="10.85546875" customWidth="1"/>
    <col min="6412" max="6412" width="12.7109375" customWidth="1"/>
    <col min="6413" max="6413" width="10.85546875" customWidth="1"/>
    <col min="6414" max="6415" width="12" customWidth="1"/>
    <col min="6416" max="6416" width="13.140625" customWidth="1"/>
    <col min="6658" max="6658" width="12" customWidth="1"/>
    <col min="6659" max="6659" width="12.7109375" customWidth="1"/>
    <col min="6660" max="6660" width="15.28515625" customWidth="1"/>
    <col min="6661" max="6661" width="12.7109375" customWidth="1"/>
    <col min="6662" max="6663" width="10.85546875" customWidth="1"/>
    <col min="6664" max="6664" width="12.7109375" customWidth="1"/>
    <col min="6665" max="6665" width="12" customWidth="1"/>
    <col min="6666" max="6666" width="12.7109375" customWidth="1"/>
    <col min="6667" max="6667" width="10.85546875" customWidth="1"/>
    <col min="6668" max="6668" width="12.7109375" customWidth="1"/>
    <col min="6669" max="6669" width="10.85546875" customWidth="1"/>
    <col min="6670" max="6671" width="12" customWidth="1"/>
    <col min="6672" max="6672" width="13.140625" customWidth="1"/>
    <col min="6914" max="6914" width="12" customWidth="1"/>
    <col min="6915" max="6915" width="12.7109375" customWidth="1"/>
    <col min="6916" max="6916" width="15.28515625" customWidth="1"/>
    <col min="6917" max="6917" width="12.7109375" customWidth="1"/>
    <col min="6918" max="6919" width="10.85546875" customWidth="1"/>
    <col min="6920" max="6920" width="12.7109375" customWidth="1"/>
    <col min="6921" max="6921" width="12" customWidth="1"/>
    <col min="6922" max="6922" width="12.7109375" customWidth="1"/>
    <col min="6923" max="6923" width="10.85546875" customWidth="1"/>
    <col min="6924" max="6924" width="12.7109375" customWidth="1"/>
    <col min="6925" max="6925" width="10.85546875" customWidth="1"/>
    <col min="6926" max="6927" width="12" customWidth="1"/>
    <col min="6928" max="6928" width="13.140625" customWidth="1"/>
    <col min="7170" max="7170" width="12" customWidth="1"/>
    <col min="7171" max="7171" width="12.7109375" customWidth="1"/>
    <col min="7172" max="7172" width="15.28515625" customWidth="1"/>
    <col min="7173" max="7173" width="12.7109375" customWidth="1"/>
    <col min="7174" max="7175" width="10.85546875" customWidth="1"/>
    <col min="7176" max="7176" width="12.7109375" customWidth="1"/>
    <col min="7177" max="7177" width="12" customWidth="1"/>
    <col min="7178" max="7178" width="12.7109375" customWidth="1"/>
    <col min="7179" max="7179" width="10.85546875" customWidth="1"/>
    <col min="7180" max="7180" width="12.7109375" customWidth="1"/>
    <col min="7181" max="7181" width="10.85546875" customWidth="1"/>
    <col min="7182" max="7183" width="12" customWidth="1"/>
    <col min="7184" max="7184" width="13.140625" customWidth="1"/>
    <col min="7426" max="7426" width="12" customWidth="1"/>
    <col min="7427" max="7427" width="12.7109375" customWidth="1"/>
    <col min="7428" max="7428" width="15.28515625" customWidth="1"/>
    <col min="7429" max="7429" width="12.7109375" customWidth="1"/>
    <col min="7430" max="7431" width="10.85546875" customWidth="1"/>
    <col min="7432" max="7432" width="12.7109375" customWidth="1"/>
    <col min="7433" max="7433" width="12" customWidth="1"/>
    <col min="7434" max="7434" width="12.7109375" customWidth="1"/>
    <col min="7435" max="7435" width="10.85546875" customWidth="1"/>
    <col min="7436" max="7436" width="12.7109375" customWidth="1"/>
    <col min="7437" max="7437" width="10.85546875" customWidth="1"/>
    <col min="7438" max="7439" width="12" customWidth="1"/>
    <col min="7440" max="7440" width="13.140625" customWidth="1"/>
    <col min="7682" max="7682" width="12" customWidth="1"/>
    <col min="7683" max="7683" width="12.7109375" customWidth="1"/>
    <col min="7684" max="7684" width="15.28515625" customWidth="1"/>
    <col min="7685" max="7685" width="12.7109375" customWidth="1"/>
    <col min="7686" max="7687" width="10.85546875" customWidth="1"/>
    <col min="7688" max="7688" width="12.7109375" customWidth="1"/>
    <col min="7689" max="7689" width="12" customWidth="1"/>
    <col min="7690" max="7690" width="12.7109375" customWidth="1"/>
    <col min="7691" max="7691" width="10.85546875" customWidth="1"/>
    <col min="7692" max="7692" width="12.7109375" customWidth="1"/>
    <col min="7693" max="7693" width="10.85546875" customWidth="1"/>
    <col min="7694" max="7695" width="12" customWidth="1"/>
    <col min="7696" max="7696" width="13.140625" customWidth="1"/>
    <col min="7938" max="7938" width="12" customWidth="1"/>
    <col min="7939" max="7939" width="12.7109375" customWidth="1"/>
    <col min="7940" max="7940" width="15.28515625" customWidth="1"/>
    <col min="7941" max="7941" width="12.7109375" customWidth="1"/>
    <col min="7942" max="7943" width="10.85546875" customWidth="1"/>
    <col min="7944" max="7944" width="12.7109375" customWidth="1"/>
    <col min="7945" max="7945" width="12" customWidth="1"/>
    <col min="7946" max="7946" width="12.7109375" customWidth="1"/>
    <col min="7947" max="7947" width="10.85546875" customWidth="1"/>
    <col min="7948" max="7948" width="12.7109375" customWidth="1"/>
    <col min="7949" max="7949" width="10.85546875" customWidth="1"/>
    <col min="7950" max="7951" width="12" customWidth="1"/>
    <col min="7952" max="7952" width="13.140625" customWidth="1"/>
    <col min="8194" max="8194" width="12" customWidth="1"/>
    <col min="8195" max="8195" width="12.7109375" customWidth="1"/>
    <col min="8196" max="8196" width="15.28515625" customWidth="1"/>
    <col min="8197" max="8197" width="12.7109375" customWidth="1"/>
    <col min="8198" max="8199" width="10.85546875" customWidth="1"/>
    <col min="8200" max="8200" width="12.7109375" customWidth="1"/>
    <col min="8201" max="8201" width="12" customWidth="1"/>
    <col min="8202" max="8202" width="12.7109375" customWidth="1"/>
    <col min="8203" max="8203" width="10.85546875" customWidth="1"/>
    <col min="8204" max="8204" width="12.7109375" customWidth="1"/>
    <col min="8205" max="8205" width="10.85546875" customWidth="1"/>
    <col min="8206" max="8207" width="12" customWidth="1"/>
    <col min="8208" max="8208" width="13.140625" customWidth="1"/>
    <col min="8450" max="8450" width="12" customWidth="1"/>
    <col min="8451" max="8451" width="12.7109375" customWidth="1"/>
    <col min="8452" max="8452" width="15.28515625" customWidth="1"/>
    <col min="8453" max="8453" width="12.7109375" customWidth="1"/>
    <col min="8454" max="8455" width="10.85546875" customWidth="1"/>
    <col min="8456" max="8456" width="12.7109375" customWidth="1"/>
    <col min="8457" max="8457" width="12" customWidth="1"/>
    <col min="8458" max="8458" width="12.7109375" customWidth="1"/>
    <col min="8459" max="8459" width="10.85546875" customWidth="1"/>
    <col min="8460" max="8460" width="12.7109375" customWidth="1"/>
    <col min="8461" max="8461" width="10.85546875" customWidth="1"/>
    <col min="8462" max="8463" width="12" customWidth="1"/>
    <col min="8464" max="8464" width="13.140625" customWidth="1"/>
    <col min="8706" max="8706" width="12" customWidth="1"/>
    <col min="8707" max="8707" width="12.7109375" customWidth="1"/>
    <col min="8708" max="8708" width="15.28515625" customWidth="1"/>
    <col min="8709" max="8709" width="12.7109375" customWidth="1"/>
    <col min="8710" max="8711" width="10.85546875" customWidth="1"/>
    <col min="8712" max="8712" width="12.7109375" customWidth="1"/>
    <col min="8713" max="8713" width="12" customWidth="1"/>
    <col min="8714" max="8714" width="12.7109375" customWidth="1"/>
    <col min="8715" max="8715" width="10.85546875" customWidth="1"/>
    <col min="8716" max="8716" width="12.7109375" customWidth="1"/>
    <col min="8717" max="8717" width="10.85546875" customWidth="1"/>
    <col min="8718" max="8719" width="12" customWidth="1"/>
    <col min="8720" max="8720" width="13.140625" customWidth="1"/>
    <col min="8962" max="8962" width="12" customWidth="1"/>
    <col min="8963" max="8963" width="12.7109375" customWidth="1"/>
    <col min="8964" max="8964" width="15.28515625" customWidth="1"/>
    <col min="8965" max="8965" width="12.7109375" customWidth="1"/>
    <col min="8966" max="8967" width="10.85546875" customWidth="1"/>
    <col min="8968" max="8968" width="12.7109375" customWidth="1"/>
    <col min="8969" max="8969" width="12" customWidth="1"/>
    <col min="8970" max="8970" width="12.7109375" customWidth="1"/>
    <col min="8971" max="8971" width="10.85546875" customWidth="1"/>
    <col min="8972" max="8972" width="12.7109375" customWidth="1"/>
    <col min="8973" max="8973" width="10.85546875" customWidth="1"/>
    <col min="8974" max="8975" width="12" customWidth="1"/>
    <col min="8976" max="8976" width="13.140625" customWidth="1"/>
    <col min="9218" max="9218" width="12" customWidth="1"/>
    <col min="9219" max="9219" width="12.7109375" customWidth="1"/>
    <col min="9220" max="9220" width="15.28515625" customWidth="1"/>
    <col min="9221" max="9221" width="12.7109375" customWidth="1"/>
    <col min="9222" max="9223" width="10.85546875" customWidth="1"/>
    <col min="9224" max="9224" width="12.7109375" customWidth="1"/>
    <col min="9225" max="9225" width="12" customWidth="1"/>
    <col min="9226" max="9226" width="12.7109375" customWidth="1"/>
    <col min="9227" max="9227" width="10.85546875" customWidth="1"/>
    <col min="9228" max="9228" width="12.7109375" customWidth="1"/>
    <col min="9229" max="9229" width="10.85546875" customWidth="1"/>
    <col min="9230" max="9231" width="12" customWidth="1"/>
    <col min="9232" max="9232" width="13.140625" customWidth="1"/>
    <col min="9474" max="9474" width="12" customWidth="1"/>
    <col min="9475" max="9475" width="12.7109375" customWidth="1"/>
    <col min="9476" max="9476" width="15.28515625" customWidth="1"/>
    <col min="9477" max="9477" width="12.7109375" customWidth="1"/>
    <col min="9478" max="9479" width="10.85546875" customWidth="1"/>
    <col min="9480" max="9480" width="12.7109375" customWidth="1"/>
    <col min="9481" max="9481" width="12" customWidth="1"/>
    <col min="9482" max="9482" width="12.7109375" customWidth="1"/>
    <col min="9483" max="9483" width="10.85546875" customWidth="1"/>
    <col min="9484" max="9484" width="12.7109375" customWidth="1"/>
    <col min="9485" max="9485" width="10.85546875" customWidth="1"/>
    <col min="9486" max="9487" width="12" customWidth="1"/>
    <col min="9488" max="9488" width="13.140625" customWidth="1"/>
    <col min="9730" max="9730" width="12" customWidth="1"/>
    <col min="9731" max="9731" width="12.7109375" customWidth="1"/>
    <col min="9732" max="9732" width="15.28515625" customWidth="1"/>
    <col min="9733" max="9733" width="12.7109375" customWidth="1"/>
    <col min="9734" max="9735" width="10.85546875" customWidth="1"/>
    <col min="9736" max="9736" width="12.7109375" customWidth="1"/>
    <col min="9737" max="9737" width="12" customWidth="1"/>
    <col min="9738" max="9738" width="12.7109375" customWidth="1"/>
    <col min="9739" max="9739" width="10.85546875" customWidth="1"/>
    <col min="9740" max="9740" width="12.7109375" customWidth="1"/>
    <col min="9741" max="9741" width="10.85546875" customWidth="1"/>
    <col min="9742" max="9743" width="12" customWidth="1"/>
    <col min="9744" max="9744" width="13.140625" customWidth="1"/>
    <col min="9986" max="9986" width="12" customWidth="1"/>
    <col min="9987" max="9987" width="12.7109375" customWidth="1"/>
    <col min="9988" max="9988" width="15.28515625" customWidth="1"/>
    <col min="9989" max="9989" width="12.7109375" customWidth="1"/>
    <col min="9990" max="9991" width="10.85546875" customWidth="1"/>
    <col min="9992" max="9992" width="12.7109375" customWidth="1"/>
    <col min="9993" max="9993" width="12" customWidth="1"/>
    <col min="9994" max="9994" width="12.7109375" customWidth="1"/>
    <col min="9995" max="9995" width="10.85546875" customWidth="1"/>
    <col min="9996" max="9996" width="12.7109375" customWidth="1"/>
    <col min="9997" max="9997" width="10.85546875" customWidth="1"/>
    <col min="9998" max="9999" width="12" customWidth="1"/>
    <col min="10000" max="10000" width="13.140625" customWidth="1"/>
    <col min="10242" max="10242" width="12" customWidth="1"/>
    <col min="10243" max="10243" width="12.7109375" customWidth="1"/>
    <col min="10244" max="10244" width="15.28515625" customWidth="1"/>
    <col min="10245" max="10245" width="12.7109375" customWidth="1"/>
    <col min="10246" max="10247" width="10.85546875" customWidth="1"/>
    <col min="10248" max="10248" width="12.7109375" customWidth="1"/>
    <col min="10249" max="10249" width="12" customWidth="1"/>
    <col min="10250" max="10250" width="12.7109375" customWidth="1"/>
    <col min="10251" max="10251" width="10.85546875" customWidth="1"/>
    <col min="10252" max="10252" width="12.7109375" customWidth="1"/>
    <col min="10253" max="10253" width="10.85546875" customWidth="1"/>
    <col min="10254" max="10255" width="12" customWidth="1"/>
    <col min="10256" max="10256" width="13.140625" customWidth="1"/>
    <col min="10498" max="10498" width="12" customWidth="1"/>
    <col min="10499" max="10499" width="12.7109375" customWidth="1"/>
    <col min="10500" max="10500" width="15.28515625" customWidth="1"/>
    <col min="10501" max="10501" width="12.7109375" customWidth="1"/>
    <col min="10502" max="10503" width="10.85546875" customWidth="1"/>
    <col min="10504" max="10504" width="12.7109375" customWidth="1"/>
    <col min="10505" max="10505" width="12" customWidth="1"/>
    <col min="10506" max="10506" width="12.7109375" customWidth="1"/>
    <col min="10507" max="10507" width="10.85546875" customWidth="1"/>
    <col min="10508" max="10508" width="12.7109375" customWidth="1"/>
    <col min="10509" max="10509" width="10.85546875" customWidth="1"/>
    <col min="10510" max="10511" width="12" customWidth="1"/>
    <col min="10512" max="10512" width="13.140625" customWidth="1"/>
    <col min="10754" max="10754" width="12" customWidth="1"/>
    <col min="10755" max="10755" width="12.7109375" customWidth="1"/>
    <col min="10756" max="10756" width="15.28515625" customWidth="1"/>
    <col min="10757" max="10757" width="12.7109375" customWidth="1"/>
    <col min="10758" max="10759" width="10.85546875" customWidth="1"/>
    <col min="10760" max="10760" width="12.7109375" customWidth="1"/>
    <col min="10761" max="10761" width="12" customWidth="1"/>
    <col min="10762" max="10762" width="12.7109375" customWidth="1"/>
    <col min="10763" max="10763" width="10.85546875" customWidth="1"/>
    <col min="10764" max="10764" width="12.7109375" customWidth="1"/>
    <col min="10765" max="10765" width="10.85546875" customWidth="1"/>
    <col min="10766" max="10767" width="12" customWidth="1"/>
    <col min="10768" max="10768" width="13.140625" customWidth="1"/>
    <col min="11010" max="11010" width="12" customWidth="1"/>
    <col min="11011" max="11011" width="12.7109375" customWidth="1"/>
    <col min="11012" max="11012" width="15.28515625" customWidth="1"/>
    <col min="11013" max="11013" width="12.7109375" customWidth="1"/>
    <col min="11014" max="11015" width="10.85546875" customWidth="1"/>
    <col min="11016" max="11016" width="12.7109375" customWidth="1"/>
    <col min="11017" max="11017" width="12" customWidth="1"/>
    <col min="11018" max="11018" width="12.7109375" customWidth="1"/>
    <col min="11019" max="11019" width="10.85546875" customWidth="1"/>
    <col min="11020" max="11020" width="12.7109375" customWidth="1"/>
    <col min="11021" max="11021" width="10.85546875" customWidth="1"/>
    <col min="11022" max="11023" width="12" customWidth="1"/>
    <col min="11024" max="11024" width="13.140625" customWidth="1"/>
    <col min="11266" max="11266" width="12" customWidth="1"/>
    <col min="11267" max="11267" width="12.7109375" customWidth="1"/>
    <col min="11268" max="11268" width="15.28515625" customWidth="1"/>
    <col min="11269" max="11269" width="12.7109375" customWidth="1"/>
    <col min="11270" max="11271" width="10.85546875" customWidth="1"/>
    <col min="11272" max="11272" width="12.7109375" customWidth="1"/>
    <col min="11273" max="11273" width="12" customWidth="1"/>
    <col min="11274" max="11274" width="12.7109375" customWidth="1"/>
    <col min="11275" max="11275" width="10.85546875" customWidth="1"/>
    <col min="11276" max="11276" width="12.7109375" customWidth="1"/>
    <col min="11277" max="11277" width="10.85546875" customWidth="1"/>
    <col min="11278" max="11279" width="12" customWidth="1"/>
    <col min="11280" max="11280" width="13.140625" customWidth="1"/>
    <col min="11522" max="11522" width="12" customWidth="1"/>
    <col min="11523" max="11523" width="12.7109375" customWidth="1"/>
    <col min="11524" max="11524" width="15.28515625" customWidth="1"/>
    <col min="11525" max="11525" width="12.7109375" customWidth="1"/>
    <col min="11526" max="11527" width="10.85546875" customWidth="1"/>
    <col min="11528" max="11528" width="12.7109375" customWidth="1"/>
    <col min="11529" max="11529" width="12" customWidth="1"/>
    <col min="11530" max="11530" width="12.7109375" customWidth="1"/>
    <col min="11531" max="11531" width="10.85546875" customWidth="1"/>
    <col min="11532" max="11532" width="12.7109375" customWidth="1"/>
    <col min="11533" max="11533" width="10.85546875" customWidth="1"/>
    <col min="11534" max="11535" width="12" customWidth="1"/>
    <col min="11536" max="11536" width="13.140625" customWidth="1"/>
    <col min="11778" max="11778" width="12" customWidth="1"/>
    <col min="11779" max="11779" width="12.7109375" customWidth="1"/>
    <col min="11780" max="11780" width="15.28515625" customWidth="1"/>
    <col min="11781" max="11781" width="12.7109375" customWidth="1"/>
    <col min="11782" max="11783" width="10.85546875" customWidth="1"/>
    <col min="11784" max="11784" width="12.7109375" customWidth="1"/>
    <col min="11785" max="11785" width="12" customWidth="1"/>
    <col min="11786" max="11786" width="12.7109375" customWidth="1"/>
    <col min="11787" max="11787" width="10.85546875" customWidth="1"/>
    <col min="11788" max="11788" width="12.7109375" customWidth="1"/>
    <col min="11789" max="11789" width="10.85546875" customWidth="1"/>
    <col min="11790" max="11791" width="12" customWidth="1"/>
    <col min="11792" max="11792" width="13.140625" customWidth="1"/>
    <col min="12034" max="12034" width="12" customWidth="1"/>
    <col min="12035" max="12035" width="12.7109375" customWidth="1"/>
    <col min="12036" max="12036" width="15.28515625" customWidth="1"/>
    <col min="12037" max="12037" width="12.7109375" customWidth="1"/>
    <col min="12038" max="12039" width="10.85546875" customWidth="1"/>
    <col min="12040" max="12040" width="12.7109375" customWidth="1"/>
    <col min="12041" max="12041" width="12" customWidth="1"/>
    <col min="12042" max="12042" width="12.7109375" customWidth="1"/>
    <col min="12043" max="12043" width="10.85546875" customWidth="1"/>
    <col min="12044" max="12044" width="12.7109375" customWidth="1"/>
    <col min="12045" max="12045" width="10.85546875" customWidth="1"/>
    <col min="12046" max="12047" width="12" customWidth="1"/>
    <col min="12048" max="12048" width="13.140625" customWidth="1"/>
    <col min="12290" max="12290" width="12" customWidth="1"/>
    <col min="12291" max="12291" width="12.7109375" customWidth="1"/>
    <col min="12292" max="12292" width="15.28515625" customWidth="1"/>
    <col min="12293" max="12293" width="12.7109375" customWidth="1"/>
    <col min="12294" max="12295" width="10.85546875" customWidth="1"/>
    <col min="12296" max="12296" width="12.7109375" customWidth="1"/>
    <col min="12297" max="12297" width="12" customWidth="1"/>
    <col min="12298" max="12298" width="12.7109375" customWidth="1"/>
    <col min="12299" max="12299" width="10.85546875" customWidth="1"/>
    <col min="12300" max="12300" width="12.7109375" customWidth="1"/>
    <col min="12301" max="12301" width="10.85546875" customWidth="1"/>
    <col min="12302" max="12303" width="12" customWidth="1"/>
    <col min="12304" max="12304" width="13.140625" customWidth="1"/>
    <col min="12546" max="12546" width="12" customWidth="1"/>
    <col min="12547" max="12547" width="12.7109375" customWidth="1"/>
    <col min="12548" max="12548" width="15.28515625" customWidth="1"/>
    <col min="12549" max="12549" width="12.7109375" customWidth="1"/>
    <col min="12550" max="12551" width="10.85546875" customWidth="1"/>
    <col min="12552" max="12552" width="12.7109375" customWidth="1"/>
    <col min="12553" max="12553" width="12" customWidth="1"/>
    <col min="12554" max="12554" width="12.7109375" customWidth="1"/>
    <col min="12555" max="12555" width="10.85546875" customWidth="1"/>
    <col min="12556" max="12556" width="12.7109375" customWidth="1"/>
    <col min="12557" max="12557" width="10.85546875" customWidth="1"/>
    <col min="12558" max="12559" width="12" customWidth="1"/>
    <col min="12560" max="12560" width="13.140625" customWidth="1"/>
    <col min="12802" max="12802" width="12" customWidth="1"/>
    <col min="12803" max="12803" width="12.7109375" customWidth="1"/>
    <col min="12804" max="12804" width="15.28515625" customWidth="1"/>
    <col min="12805" max="12805" width="12.7109375" customWidth="1"/>
    <col min="12806" max="12807" width="10.85546875" customWidth="1"/>
    <col min="12808" max="12808" width="12.7109375" customWidth="1"/>
    <col min="12809" max="12809" width="12" customWidth="1"/>
    <col min="12810" max="12810" width="12.7109375" customWidth="1"/>
    <col min="12811" max="12811" width="10.85546875" customWidth="1"/>
    <col min="12812" max="12812" width="12.7109375" customWidth="1"/>
    <col min="12813" max="12813" width="10.85546875" customWidth="1"/>
    <col min="12814" max="12815" width="12" customWidth="1"/>
    <col min="12816" max="12816" width="13.140625" customWidth="1"/>
    <col min="13058" max="13058" width="12" customWidth="1"/>
    <col min="13059" max="13059" width="12.7109375" customWidth="1"/>
    <col min="13060" max="13060" width="15.28515625" customWidth="1"/>
    <col min="13061" max="13061" width="12.7109375" customWidth="1"/>
    <col min="13062" max="13063" width="10.85546875" customWidth="1"/>
    <col min="13064" max="13064" width="12.7109375" customWidth="1"/>
    <col min="13065" max="13065" width="12" customWidth="1"/>
    <col min="13066" max="13066" width="12.7109375" customWidth="1"/>
    <col min="13067" max="13067" width="10.85546875" customWidth="1"/>
    <col min="13068" max="13068" width="12.7109375" customWidth="1"/>
    <col min="13069" max="13069" width="10.85546875" customWidth="1"/>
    <col min="13070" max="13071" width="12" customWidth="1"/>
    <col min="13072" max="13072" width="13.140625" customWidth="1"/>
    <col min="13314" max="13314" width="12" customWidth="1"/>
    <col min="13315" max="13315" width="12.7109375" customWidth="1"/>
    <col min="13316" max="13316" width="15.28515625" customWidth="1"/>
    <col min="13317" max="13317" width="12.7109375" customWidth="1"/>
    <col min="13318" max="13319" width="10.85546875" customWidth="1"/>
    <col min="13320" max="13320" width="12.7109375" customWidth="1"/>
    <col min="13321" max="13321" width="12" customWidth="1"/>
    <col min="13322" max="13322" width="12.7109375" customWidth="1"/>
    <col min="13323" max="13323" width="10.85546875" customWidth="1"/>
    <col min="13324" max="13324" width="12.7109375" customWidth="1"/>
    <col min="13325" max="13325" width="10.85546875" customWidth="1"/>
    <col min="13326" max="13327" width="12" customWidth="1"/>
    <col min="13328" max="13328" width="13.140625" customWidth="1"/>
    <col min="13570" max="13570" width="12" customWidth="1"/>
    <col min="13571" max="13571" width="12.7109375" customWidth="1"/>
    <col min="13572" max="13572" width="15.28515625" customWidth="1"/>
    <col min="13573" max="13573" width="12.7109375" customWidth="1"/>
    <col min="13574" max="13575" width="10.85546875" customWidth="1"/>
    <col min="13576" max="13576" width="12.7109375" customWidth="1"/>
    <col min="13577" max="13577" width="12" customWidth="1"/>
    <col min="13578" max="13578" width="12.7109375" customWidth="1"/>
    <col min="13579" max="13579" width="10.85546875" customWidth="1"/>
    <col min="13580" max="13580" width="12.7109375" customWidth="1"/>
    <col min="13581" max="13581" width="10.85546875" customWidth="1"/>
    <col min="13582" max="13583" width="12" customWidth="1"/>
    <col min="13584" max="13584" width="13.140625" customWidth="1"/>
    <col min="13826" max="13826" width="12" customWidth="1"/>
    <col min="13827" max="13827" width="12.7109375" customWidth="1"/>
    <col min="13828" max="13828" width="15.28515625" customWidth="1"/>
    <col min="13829" max="13829" width="12.7109375" customWidth="1"/>
    <col min="13830" max="13831" width="10.85546875" customWidth="1"/>
    <col min="13832" max="13832" width="12.7109375" customWidth="1"/>
    <col min="13833" max="13833" width="12" customWidth="1"/>
    <col min="13834" max="13834" width="12.7109375" customWidth="1"/>
    <col min="13835" max="13835" width="10.85546875" customWidth="1"/>
    <col min="13836" max="13836" width="12.7109375" customWidth="1"/>
    <col min="13837" max="13837" width="10.85546875" customWidth="1"/>
    <col min="13838" max="13839" width="12" customWidth="1"/>
    <col min="13840" max="13840" width="13.140625" customWidth="1"/>
    <col min="14082" max="14082" width="12" customWidth="1"/>
    <col min="14083" max="14083" width="12.7109375" customWidth="1"/>
    <col min="14084" max="14084" width="15.28515625" customWidth="1"/>
    <col min="14085" max="14085" width="12.7109375" customWidth="1"/>
    <col min="14086" max="14087" width="10.85546875" customWidth="1"/>
    <col min="14088" max="14088" width="12.7109375" customWidth="1"/>
    <col min="14089" max="14089" width="12" customWidth="1"/>
    <col min="14090" max="14090" width="12.7109375" customWidth="1"/>
    <col min="14091" max="14091" width="10.85546875" customWidth="1"/>
    <col min="14092" max="14092" width="12.7109375" customWidth="1"/>
    <col min="14093" max="14093" width="10.85546875" customWidth="1"/>
    <col min="14094" max="14095" width="12" customWidth="1"/>
    <col min="14096" max="14096" width="13.140625" customWidth="1"/>
    <col min="14338" max="14338" width="12" customWidth="1"/>
    <col min="14339" max="14339" width="12.7109375" customWidth="1"/>
    <col min="14340" max="14340" width="15.28515625" customWidth="1"/>
    <col min="14341" max="14341" width="12.7109375" customWidth="1"/>
    <col min="14342" max="14343" width="10.85546875" customWidth="1"/>
    <col min="14344" max="14344" width="12.7109375" customWidth="1"/>
    <col min="14345" max="14345" width="12" customWidth="1"/>
    <col min="14346" max="14346" width="12.7109375" customWidth="1"/>
    <col min="14347" max="14347" width="10.85546875" customWidth="1"/>
    <col min="14348" max="14348" width="12.7109375" customWidth="1"/>
    <col min="14349" max="14349" width="10.85546875" customWidth="1"/>
    <col min="14350" max="14351" width="12" customWidth="1"/>
    <col min="14352" max="14352" width="13.140625" customWidth="1"/>
    <col min="14594" max="14594" width="12" customWidth="1"/>
    <col min="14595" max="14595" width="12.7109375" customWidth="1"/>
    <col min="14596" max="14596" width="15.28515625" customWidth="1"/>
    <col min="14597" max="14597" width="12.7109375" customWidth="1"/>
    <col min="14598" max="14599" width="10.85546875" customWidth="1"/>
    <col min="14600" max="14600" width="12.7109375" customWidth="1"/>
    <col min="14601" max="14601" width="12" customWidth="1"/>
    <col min="14602" max="14602" width="12.7109375" customWidth="1"/>
    <col min="14603" max="14603" width="10.85546875" customWidth="1"/>
    <col min="14604" max="14604" width="12.7109375" customWidth="1"/>
    <col min="14605" max="14605" width="10.85546875" customWidth="1"/>
    <col min="14606" max="14607" width="12" customWidth="1"/>
    <col min="14608" max="14608" width="13.140625" customWidth="1"/>
    <col min="14850" max="14850" width="12" customWidth="1"/>
    <col min="14851" max="14851" width="12.7109375" customWidth="1"/>
    <col min="14852" max="14852" width="15.28515625" customWidth="1"/>
    <col min="14853" max="14853" width="12.7109375" customWidth="1"/>
    <col min="14854" max="14855" width="10.85546875" customWidth="1"/>
    <col min="14856" max="14856" width="12.7109375" customWidth="1"/>
    <col min="14857" max="14857" width="12" customWidth="1"/>
    <col min="14858" max="14858" width="12.7109375" customWidth="1"/>
    <col min="14859" max="14859" width="10.85546875" customWidth="1"/>
    <col min="14860" max="14860" width="12.7109375" customWidth="1"/>
    <col min="14861" max="14861" width="10.85546875" customWidth="1"/>
    <col min="14862" max="14863" width="12" customWidth="1"/>
    <col min="14864" max="14864" width="13.140625" customWidth="1"/>
    <col min="15106" max="15106" width="12" customWidth="1"/>
    <col min="15107" max="15107" width="12.7109375" customWidth="1"/>
    <col min="15108" max="15108" width="15.28515625" customWidth="1"/>
    <col min="15109" max="15109" width="12.7109375" customWidth="1"/>
    <col min="15110" max="15111" width="10.85546875" customWidth="1"/>
    <col min="15112" max="15112" width="12.7109375" customWidth="1"/>
    <col min="15113" max="15113" width="12" customWidth="1"/>
    <col min="15114" max="15114" width="12.7109375" customWidth="1"/>
    <col min="15115" max="15115" width="10.85546875" customWidth="1"/>
    <col min="15116" max="15116" width="12.7109375" customWidth="1"/>
    <col min="15117" max="15117" width="10.85546875" customWidth="1"/>
    <col min="15118" max="15119" width="12" customWidth="1"/>
    <col min="15120" max="15120" width="13.140625" customWidth="1"/>
    <col min="15362" max="15362" width="12" customWidth="1"/>
    <col min="15363" max="15363" width="12.7109375" customWidth="1"/>
    <col min="15364" max="15364" width="15.28515625" customWidth="1"/>
    <col min="15365" max="15365" width="12.7109375" customWidth="1"/>
    <col min="15366" max="15367" width="10.85546875" customWidth="1"/>
    <col min="15368" max="15368" width="12.7109375" customWidth="1"/>
    <col min="15369" max="15369" width="12" customWidth="1"/>
    <col min="15370" max="15370" width="12.7109375" customWidth="1"/>
    <col min="15371" max="15371" width="10.85546875" customWidth="1"/>
    <col min="15372" max="15372" width="12.7109375" customWidth="1"/>
    <col min="15373" max="15373" width="10.85546875" customWidth="1"/>
    <col min="15374" max="15375" width="12" customWidth="1"/>
    <col min="15376" max="15376" width="13.140625" customWidth="1"/>
    <col min="15618" max="15618" width="12" customWidth="1"/>
    <col min="15619" max="15619" width="12.7109375" customWidth="1"/>
    <col min="15620" max="15620" width="15.28515625" customWidth="1"/>
    <col min="15621" max="15621" width="12.7109375" customWidth="1"/>
    <col min="15622" max="15623" width="10.85546875" customWidth="1"/>
    <col min="15624" max="15624" width="12.7109375" customWidth="1"/>
    <col min="15625" max="15625" width="12" customWidth="1"/>
    <col min="15626" max="15626" width="12.7109375" customWidth="1"/>
    <col min="15627" max="15627" width="10.85546875" customWidth="1"/>
    <col min="15628" max="15628" width="12.7109375" customWidth="1"/>
    <col min="15629" max="15629" width="10.85546875" customWidth="1"/>
    <col min="15630" max="15631" width="12" customWidth="1"/>
    <col min="15632" max="15632" width="13.140625" customWidth="1"/>
    <col min="15874" max="15874" width="12" customWidth="1"/>
    <col min="15875" max="15875" width="12.7109375" customWidth="1"/>
    <col min="15876" max="15876" width="15.28515625" customWidth="1"/>
    <col min="15877" max="15877" width="12.7109375" customWidth="1"/>
    <col min="15878" max="15879" width="10.85546875" customWidth="1"/>
    <col min="15880" max="15880" width="12.7109375" customWidth="1"/>
    <col min="15881" max="15881" width="12" customWidth="1"/>
    <col min="15882" max="15882" width="12.7109375" customWidth="1"/>
    <col min="15883" max="15883" width="10.85546875" customWidth="1"/>
    <col min="15884" max="15884" width="12.7109375" customWidth="1"/>
    <col min="15885" max="15885" width="10.85546875" customWidth="1"/>
    <col min="15886" max="15887" width="12" customWidth="1"/>
    <col min="15888" max="15888" width="13.140625" customWidth="1"/>
    <col min="16130" max="16130" width="12" customWidth="1"/>
    <col min="16131" max="16131" width="12.7109375" customWidth="1"/>
    <col min="16132" max="16132" width="15.28515625" customWidth="1"/>
    <col min="16133" max="16133" width="12.7109375" customWidth="1"/>
    <col min="16134" max="16135" width="10.85546875" customWidth="1"/>
    <col min="16136" max="16136" width="12.7109375" customWidth="1"/>
    <col min="16137" max="16137" width="12" customWidth="1"/>
    <col min="16138" max="16138" width="12.7109375" customWidth="1"/>
    <col min="16139" max="16139" width="10.85546875" customWidth="1"/>
    <col min="16140" max="16140" width="12.7109375" customWidth="1"/>
    <col min="16141" max="16141" width="10.85546875" customWidth="1"/>
    <col min="16142" max="16143" width="12" customWidth="1"/>
    <col min="16144" max="16144" width="13.140625" customWidth="1"/>
  </cols>
  <sheetData>
    <row r="2" spans="2:32" x14ac:dyDescent="0.25">
      <c r="B2" t="str">
        <f>Input!C4</f>
        <v>DeKalb County Population, 1900 to 2040</v>
      </c>
    </row>
    <row r="3" spans="2:32" ht="15.75" thickBot="1" x14ac:dyDescent="0.3"/>
    <row r="4" spans="2:32" x14ac:dyDescent="0.25">
      <c r="B4" s="29"/>
      <c r="C4" s="109" t="s">
        <v>80</v>
      </c>
      <c r="D4" s="109" t="s">
        <v>39</v>
      </c>
      <c r="E4" s="19" t="s">
        <v>66</v>
      </c>
      <c r="F4" s="19" t="s">
        <v>40</v>
      </c>
      <c r="G4" s="19" t="s">
        <v>67</v>
      </c>
      <c r="H4" s="19" t="s">
        <v>68</v>
      </c>
      <c r="I4" s="20" t="s">
        <v>38</v>
      </c>
      <c r="L4" s="143" t="s">
        <v>181</v>
      </c>
      <c r="X4" s="5"/>
      <c r="Z4" s="5"/>
      <c r="AD4" s="5"/>
      <c r="AF4" s="5"/>
    </row>
    <row r="5" spans="2:32" x14ac:dyDescent="0.25">
      <c r="B5" s="110" t="s">
        <v>2</v>
      </c>
      <c r="C5" s="111" t="s">
        <v>3</v>
      </c>
      <c r="D5" s="43" t="s">
        <v>4</v>
      </c>
      <c r="E5" s="43" t="s">
        <v>5</v>
      </c>
      <c r="F5" s="43" t="s">
        <v>6</v>
      </c>
      <c r="G5" s="43" t="s">
        <v>24</v>
      </c>
      <c r="H5" s="74" t="s">
        <v>25</v>
      </c>
      <c r="I5" s="44" t="s">
        <v>47</v>
      </c>
      <c r="K5" s="143"/>
      <c r="X5" s="5"/>
      <c r="Z5" s="5"/>
      <c r="AD5" s="5"/>
      <c r="AF5" s="5"/>
    </row>
    <row r="6" spans="2:32" x14ac:dyDescent="0.25">
      <c r="B6" s="33">
        <v>1</v>
      </c>
      <c r="C6" s="59">
        <f>first.year</f>
        <v>1900</v>
      </c>
      <c r="D6" s="93">
        <f>first.year</f>
        <v>1900</v>
      </c>
      <c r="E6" s="59" t="str">
        <f t="shared" ref="E6:E30" si="0">IF(C6&lt;base.year,"",IF(C6=base.year,base.year,IF(C6&lt;=launch.year,C6,"")))</f>
        <v/>
      </c>
      <c r="F6" s="59" t="str">
        <f>IF(D6&lt;base.year,"",IF(E6=base.year,base.year,IF(E3&lt;target.year,E3+interval.obs,"")))</f>
        <v/>
      </c>
      <c r="G6" s="49" t="str">
        <f>IF(E6="","",Input!G9)</f>
        <v/>
      </c>
      <c r="H6" s="3" t="str">
        <f>IF(E6="","",IF(E6=base.year,IF(N.odd,-(N-1)/2,-(N-1)),IF(N.odd,H4+1,H4+2)))</f>
        <v/>
      </c>
      <c r="I6" s="21" t="str">
        <f>IF(F6="","",IF(F6=base.year,IF(N.odd,-(N-1)/2,-(N-1)),IF(N.odd,I4+1,I4+2)))</f>
        <v/>
      </c>
      <c r="K6" s="143"/>
      <c r="L6" s="143" t="s">
        <v>53</v>
      </c>
      <c r="M6" s="143" t="b">
        <v>1</v>
      </c>
      <c r="X6" s="5"/>
      <c r="Z6" s="5"/>
      <c r="AD6" s="5"/>
      <c r="AF6" s="5"/>
    </row>
    <row r="7" spans="2:32" x14ac:dyDescent="0.25">
      <c r="B7" s="33">
        <v>2</v>
      </c>
      <c r="C7" s="59">
        <f t="shared" ref="C7:C30" si="1">IF(C6&lt;target.year,C6+interval.obs,"")</f>
        <v>1910</v>
      </c>
      <c r="D7" s="93">
        <f t="shared" ref="D7:D30" si="2">IF(D6&gt;=last.year,"",IF(D6+interval.obs&lt;=last.year,D6+interval.obs,""))</f>
        <v>1910</v>
      </c>
      <c r="E7" s="59" t="str">
        <f t="shared" si="0"/>
        <v/>
      </c>
      <c r="F7" s="59" t="str">
        <f t="shared" ref="F7:F30" si="3">IF(D7&lt;base.year,"",IF(E7=base.year,base.year,IF(F6&lt;target.year,F6+interval.obs,"")))</f>
        <v/>
      </c>
      <c r="G7" s="49" t="str">
        <f>IF(E7="","",Input!G10)</f>
        <v/>
      </c>
      <c r="H7" s="3" t="str">
        <f t="shared" ref="H7:H30" si="4">IF(E7="","",IF(E7=base.year,IF(N.odd,-(N-1)/2,-(N-1)),IF(N.odd,H6+1,H6+2)))</f>
        <v/>
      </c>
      <c r="I7" s="21" t="str">
        <f t="shared" ref="I7:I30" si="5">IF(F7="","",IF(F7=base.year,IF(N.odd,-(N-1)/2,-(N-1)),IF(N.odd,I6+1,I6+2)))</f>
        <v/>
      </c>
      <c r="K7" s="143"/>
      <c r="L7" s="143" t="s">
        <v>54</v>
      </c>
      <c r="M7" s="143" t="b">
        <v>1</v>
      </c>
    </row>
    <row r="8" spans="2:32" x14ac:dyDescent="0.25">
      <c r="B8" s="33">
        <v>3</v>
      </c>
      <c r="C8" s="59">
        <f t="shared" si="1"/>
        <v>1920</v>
      </c>
      <c r="D8" s="93">
        <f t="shared" si="2"/>
        <v>1920</v>
      </c>
      <c r="E8" s="59" t="str">
        <f t="shared" si="0"/>
        <v/>
      </c>
      <c r="F8" s="59" t="str">
        <f t="shared" si="3"/>
        <v/>
      </c>
      <c r="G8" s="49" t="str">
        <f>IF(E8="","",Input!G11)</f>
        <v/>
      </c>
      <c r="H8" s="3" t="str">
        <f t="shared" si="4"/>
        <v/>
      </c>
      <c r="I8" s="21" t="str">
        <f t="shared" si="5"/>
        <v/>
      </c>
      <c r="K8" s="143"/>
      <c r="L8" s="143" t="s">
        <v>55</v>
      </c>
      <c r="M8" s="143" t="b">
        <v>1</v>
      </c>
      <c r="W8" s="5"/>
      <c r="X8" s="5"/>
      <c r="Y8" s="5"/>
      <c r="Z8" s="5"/>
      <c r="AD8" s="5"/>
      <c r="AF8" s="5"/>
    </row>
    <row r="9" spans="2:32" x14ac:dyDescent="0.25">
      <c r="B9" s="33">
        <v>4</v>
      </c>
      <c r="C9" s="59">
        <f t="shared" si="1"/>
        <v>1930</v>
      </c>
      <c r="D9" s="93">
        <f t="shared" si="2"/>
        <v>1930</v>
      </c>
      <c r="E9" s="59" t="str">
        <f t="shared" si="0"/>
        <v/>
      </c>
      <c r="F9" s="59" t="str">
        <f t="shared" si="3"/>
        <v/>
      </c>
      <c r="G9" s="49" t="str">
        <f>IF(E9="","",Input!G12)</f>
        <v/>
      </c>
      <c r="H9" s="3" t="str">
        <f t="shared" si="4"/>
        <v/>
      </c>
      <c r="I9" s="21" t="str">
        <f t="shared" si="5"/>
        <v/>
      </c>
      <c r="L9" s="143" t="s">
        <v>79</v>
      </c>
      <c r="M9" s="143" t="b">
        <v>1</v>
      </c>
      <c r="X9" s="5"/>
      <c r="Z9" s="5"/>
      <c r="AD9" s="5"/>
      <c r="AF9" s="5"/>
    </row>
    <row r="10" spans="2:32" x14ac:dyDescent="0.25">
      <c r="B10" s="33">
        <v>5</v>
      </c>
      <c r="C10" s="59">
        <f t="shared" si="1"/>
        <v>1940</v>
      </c>
      <c r="D10" s="93">
        <f t="shared" si="2"/>
        <v>1940</v>
      </c>
      <c r="E10" s="59" t="str">
        <f t="shared" si="0"/>
        <v/>
      </c>
      <c r="F10" s="59" t="str">
        <f t="shared" si="3"/>
        <v/>
      </c>
      <c r="G10" s="49" t="str">
        <f>IF(E10="","",Input!G13)</f>
        <v/>
      </c>
      <c r="H10" s="3" t="str">
        <f t="shared" si="4"/>
        <v/>
      </c>
      <c r="I10" s="21" t="str">
        <f t="shared" si="5"/>
        <v/>
      </c>
      <c r="L10" s="143" t="s">
        <v>131</v>
      </c>
      <c r="M10" s="143" t="b">
        <v>1</v>
      </c>
    </row>
    <row r="11" spans="2:32" x14ac:dyDescent="0.25">
      <c r="B11" s="33">
        <v>6</v>
      </c>
      <c r="C11" s="59">
        <f t="shared" si="1"/>
        <v>1950</v>
      </c>
      <c r="D11" s="93">
        <f t="shared" si="2"/>
        <v>1950</v>
      </c>
      <c r="E11" s="59" t="str">
        <f t="shared" si="0"/>
        <v/>
      </c>
      <c r="F11" s="59" t="str">
        <f t="shared" si="3"/>
        <v/>
      </c>
      <c r="G11" s="49" t="str">
        <f>IF(E11="","",Input!G14)</f>
        <v/>
      </c>
      <c r="H11" s="3" t="str">
        <f t="shared" si="4"/>
        <v/>
      </c>
      <c r="I11" s="21" t="str">
        <f t="shared" si="5"/>
        <v/>
      </c>
      <c r="W11" s="5"/>
      <c r="X11" s="5"/>
      <c r="Y11" s="5"/>
      <c r="Z11" s="5"/>
      <c r="AD11" s="5"/>
      <c r="AF11" s="5"/>
    </row>
    <row r="12" spans="2:32" x14ac:dyDescent="0.25">
      <c r="B12" s="33">
        <v>7</v>
      </c>
      <c r="C12" s="59">
        <f t="shared" si="1"/>
        <v>1960</v>
      </c>
      <c r="D12" s="93">
        <f t="shared" si="2"/>
        <v>1960</v>
      </c>
      <c r="E12" s="59" t="str">
        <f t="shared" si="0"/>
        <v/>
      </c>
      <c r="F12" s="59" t="str">
        <f t="shared" si="3"/>
        <v/>
      </c>
      <c r="G12" s="49" t="str">
        <f>IF(E12="","",Input!G15)</f>
        <v/>
      </c>
      <c r="H12" s="3" t="str">
        <f t="shared" si="4"/>
        <v/>
      </c>
      <c r="I12" s="21" t="str">
        <f t="shared" si="5"/>
        <v/>
      </c>
      <c r="K12" t="s">
        <v>138</v>
      </c>
      <c r="L12" t="str">
        <f>area&amp;" "&amp;variable&amp;", "&amp;first.year&amp;" to "&amp;last.year</f>
        <v>DeKalb County Population, 1900 to 2010</v>
      </c>
      <c r="W12" s="5"/>
      <c r="X12" s="5"/>
      <c r="Y12" s="5"/>
      <c r="Z12" s="5"/>
      <c r="AD12" s="5"/>
      <c r="AF12" s="5"/>
    </row>
    <row r="13" spans="2:32" x14ac:dyDescent="0.25">
      <c r="B13" s="33">
        <v>8</v>
      </c>
      <c r="C13" s="59">
        <f t="shared" si="1"/>
        <v>1970</v>
      </c>
      <c r="D13" s="93">
        <f t="shared" si="2"/>
        <v>1970</v>
      </c>
      <c r="E13" s="59" t="str">
        <f t="shared" si="0"/>
        <v/>
      </c>
      <c r="F13" s="59" t="str">
        <f t="shared" si="3"/>
        <v/>
      </c>
      <c r="G13" s="49" t="str">
        <f>IF(E13="","",Input!G16)</f>
        <v/>
      </c>
      <c r="H13" s="3" t="str">
        <f t="shared" si="4"/>
        <v/>
      </c>
      <c r="I13" s="21" t="str">
        <f t="shared" si="5"/>
        <v/>
      </c>
      <c r="L13" t="str">
        <f>"Trend Projections: "&amp;area&amp;" "&amp;variable&amp;", "&amp;base.year&amp;" to "&amp;target.year</f>
        <v>Trend Projections: DeKalb County Population, 1990 to 2040</v>
      </c>
      <c r="W13" s="5"/>
      <c r="X13" s="5"/>
      <c r="Y13" s="5"/>
      <c r="Z13" s="5"/>
      <c r="AD13" s="5"/>
      <c r="AF13" s="5"/>
    </row>
    <row r="14" spans="2:32" x14ac:dyDescent="0.25">
      <c r="B14" s="33">
        <v>9</v>
      </c>
      <c r="C14" s="59">
        <f t="shared" si="1"/>
        <v>1980</v>
      </c>
      <c r="D14" s="93">
        <f t="shared" si="2"/>
        <v>1980</v>
      </c>
      <c r="E14" s="59" t="str">
        <f t="shared" si="0"/>
        <v/>
      </c>
      <c r="F14" s="59" t="str">
        <f t="shared" si="3"/>
        <v/>
      </c>
      <c r="G14" s="49" t="str">
        <f>IF(E14="","",Input!G17)</f>
        <v/>
      </c>
      <c r="H14" s="3" t="str">
        <f t="shared" si="4"/>
        <v/>
      </c>
      <c r="I14" s="21" t="str">
        <f t="shared" si="5"/>
        <v/>
      </c>
      <c r="W14" s="5"/>
      <c r="X14" s="5"/>
      <c r="Y14" s="5"/>
      <c r="Z14" s="5"/>
      <c r="AD14" s="5"/>
      <c r="AF14" s="5"/>
    </row>
    <row r="15" spans="2:32" x14ac:dyDescent="0.25">
      <c r="B15" s="33">
        <v>10</v>
      </c>
      <c r="C15" s="59">
        <f t="shared" si="1"/>
        <v>1990</v>
      </c>
      <c r="D15" s="93">
        <f t="shared" si="2"/>
        <v>1990</v>
      </c>
      <c r="E15" s="59">
        <f t="shared" si="0"/>
        <v>1990</v>
      </c>
      <c r="F15" s="59">
        <f t="shared" si="3"/>
        <v>1990</v>
      </c>
      <c r="G15" s="49">
        <f>IF(E15="","",Input!G18)</f>
        <v>545.83699999999999</v>
      </c>
      <c r="H15" s="3">
        <f t="shared" si="4"/>
        <v>-1</v>
      </c>
      <c r="I15" s="21">
        <f t="shared" si="5"/>
        <v>-1</v>
      </c>
      <c r="K15" t="s">
        <v>144</v>
      </c>
      <c r="L15" t="str">
        <f>IF(units = "",variable,variable&amp;" ("&amp;units&amp;")")</f>
        <v>Population (thousands)</v>
      </c>
      <c r="W15" s="5"/>
      <c r="X15" s="5"/>
      <c r="Y15" s="5"/>
      <c r="Z15" s="5"/>
      <c r="AD15" s="5"/>
      <c r="AF15" s="5"/>
    </row>
    <row r="16" spans="2:32" x14ac:dyDescent="0.25">
      <c r="B16" s="33">
        <v>11</v>
      </c>
      <c r="C16" s="59">
        <f t="shared" si="1"/>
        <v>2000</v>
      </c>
      <c r="D16" s="93">
        <f t="shared" si="2"/>
        <v>2000</v>
      </c>
      <c r="E16" s="59">
        <f t="shared" si="0"/>
        <v>2000</v>
      </c>
      <c r="F16" s="59">
        <f t="shared" si="3"/>
        <v>2000</v>
      </c>
      <c r="G16" s="49">
        <f>IF(E16="","",Input!G19)</f>
        <v>665.86500000000001</v>
      </c>
      <c r="H16" s="3">
        <f t="shared" si="4"/>
        <v>0</v>
      </c>
      <c r="I16" s="21">
        <f t="shared" si="5"/>
        <v>0</v>
      </c>
      <c r="W16" s="5"/>
      <c r="X16" s="5"/>
      <c r="Y16" s="5"/>
      <c r="Z16" s="5"/>
      <c r="AD16" s="5"/>
      <c r="AF16" s="5"/>
    </row>
    <row r="17" spans="2:46" x14ac:dyDescent="0.25">
      <c r="B17" s="33">
        <v>12</v>
      </c>
      <c r="C17" s="59">
        <f t="shared" si="1"/>
        <v>2010</v>
      </c>
      <c r="D17" s="93">
        <f t="shared" si="2"/>
        <v>2010</v>
      </c>
      <c r="E17" s="59">
        <f t="shared" si="0"/>
        <v>2010</v>
      </c>
      <c r="F17" s="59">
        <f t="shared" si="3"/>
        <v>2010</v>
      </c>
      <c r="G17" s="49">
        <f>IF(E17="","",Input!G20)</f>
        <v>691.89300000000003</v>
      </c>
      <c r="H17" s="3">
        <f t="shared" si="4"/>
        <v>1</v>
      </c>
      <c r="I17" s="21">
        <f t="shared" si="5"/>
        <v>1</v>
      </c>
      <c r="L17" t="s">
        <v>157</v>
      </c>
      <c r="M17">
        <f>(base.year-first.year)/interval.obs+1</f>
        <v>10</v>
      </c>
      <c r="W17" s="5"/>
      <c r="X17" s="5"/>
      <c r="Y17" s="5"/>
      <c r="Z17" s="5"/>
      <c r="AD17" s="5"/>
      <c r="AF17" s="5"/>
    </row>
    <row r="18" spans="2:46" x14ac:dyDescent="0.25">
      <c r="B18" s="33">
        <v>13</v>
      </c>
      <c r="C18" s="59">
        <f t="shared" si="1"/>
        <v>2020</v>
      </c>
      <c r="D18" s="93" t="str">
        <f t="shared" si="2"/>
        <v/>
      </c>
      <c r="E18" s="59" t="str">
        <f t="shared" si="0"/>
        <v/>
      </c>
      <c r="F18" s="59">
        <f t="shared" si="3"/>
        <v>2020</v>
      </c>
      <c r="G18" s="49" t="str">
        <f>IF(E18="","",Input!G21)</f>
        <v/>
      </c>
      <c r="H18" s="3" t="str">
        <f t="shared" si="4"/>
        <v/>
      </c>
      <c r="I18" s="21">
        <f t="shared" si="5"/>
        <v>2</v>
      </c>
      <c r="X18" s="5"/>
      <c r="Z18" s="5"/>
      <c r="AD18" s="5"/>
      <c r="AF18" s="5"/>
    </row>
    <row r="19" spans="2:46" x14ac:dyDescent="0.25">
      <c r="B19" s="33">
        <v>14</v>
      </c>
      <c r="C19" s="59">
        <f t="shared" si="1"/>
        <v>2030</v>
      </c>
      <c r="D19" s="93" t="str">
        <f t="shared" si="2"/>
        <v/>
      </c>
      <c r="E19" s="59" t="str">
        <f t="shared" si="0"/>
        <v/>
      </c>
      <c r="F19" s="59">
        <f t="shared" si="3"/>
        <v>2030</v>
      </c>
      <c r="G19" s="49" t="str">
        <f>IF(E19="","",Input!G22)</f>
        <v/>
      </c>
      <c r="H19" s="3" t="str">
        <f t="shared" si="4"/>
        <v/>
      </c>
      <c r="I19" s="21">
        <f t="shared" si="5"/>
        <v>3</v>
      </c>
      <c r="X19" s="5"/>
      <c r="Z19" s="5"/>
      <c r="AD19" s="5"/>
      <c r="AF19" s="5"/>
    </row>
    <row r="20" spans="2:46" x14ac:dyDescent="0.25">
      <c r="B20" s="33">
        <v>15</v>
      </c>
      <c r="C20" s="59">
        <f t="shared" si="1"/>
        <v>2040</v>
      </c>
      <c r="D20" s="93" t="str">
        <f t="shared" si="2"/>
        <v/>
      </c>
      <c r="E20" s="59" t="str">
        <f t="shared" si="0"/>
        <v/>
      </c>
      <c r="F20" s="59">
        <f t="shared" si="3"/>
        <v>2040</v>
      </c>
      <c r="G20" s="49" t="str">
        <f>IF(E20="","",Input!G23)</f>
        <v/>
      </c>
      <c r="H20" s="3" t="str">
        <f t="shared" si="4"/>
        <v/>
      </c>
      <c r="I20" s="21">
        <f t="shared" si="5"/>
        <v>4</v>
      </c>
      <c r="W20" s="5"/>
      <c r="X20" s="5"/>
      <c r="Y20" s="5"/>
      <c r="Z20" s="5"/>
      <c r="AD20" s="5"/>
      <c r="AF20" s="5"/>
    </row>
    <row r="21" spans="2:46" x14ac:dyDescent="0.25">
      <c r="B21" s="33">
        <v>16</v>
      </c>
      <c r="C21" s="59" t="str">
        <f t="shared" si="1"/>
        <v/>
      </c>
      <c r="D21" s="93" t="str">
        <f t="shared" si="2"/>
        <v/>
      </c>
      <c r="E21" s="59" t="str">
        <f t="shared" si="0"/>
        <v/>
      </c>
      <c r="F21" s="59" t="str">
        <f t="shared" si="3"/>
        <v/>
      </c>
      <c r="G21" s="49" t="str">
        <f>IF(E21="","",Input!G24)</f>
        <v/>
      </c>
      <c r="H21" s="3" t="str">
        <f t="shared" si="4"/>
        <v/>
      </c>
      <c r="I21" s="21" t="str">
        <f t="shared" si="5"/>
        <v/>
      </c>
      <c r="W21" s="5"/>
      <c r="X21" s="5"/>
      <c r="Y21" s="5"/>
      <c r="Z21" s="5"/>
      <c r="AD21" s="5"/>
      <c r="AF21" s="5"/>
    </row>
    <row r="22" spans="2:46" x14ac:dyDescent="0.25">
      <c r="B22" s="33">
        <v>17</v>
      </c>
      <c r="C22" s="59" t="str">
        <f t="shared" si="1"/>
        <v/>
      </c>
      <c r="D22" s="93" t="str">
        <f t="shared" si="2"/>
        <v/>
      </c>
      <c r="E22" s="59" t="str">
        <f t="shared" si="0"/>
        <v/>
      </c>
      <c r="F22" s="59" t="str">
        <f t="shared" si="3"/>
        <v/>
      </c>
      <c r="G22" s="49" t="str">
        <f>IF(E22="","",Input!G25)</f>
        <v/>
      </c>
      <c r="H22" s="3" t="str">
        <f t="shared" si="4"/>
        <v/>
      </c>
      <c r="I22" s="21" t="str">
        <f t="shared" si="5"/>
        <v/>
      </c>
      <c r="W22" s="5"/>
      <c r="X22" s="5"/>
      <c r="Y22" s="5"/>
      <c r="Z22" s="5"/>
      <c r="AD22" s="5"/>
      <c r="AF22" s="5"/>
    </row>
    <row r="23" spans="2:46" x14ac:dyDescent="0.25">
      <c r="B23" s="33">
        <v>18</v>
      </c>
      <c r="C23" s="59" t="str">
        <f t="shared" si="1"/>
        <v/>
      </c>
      <c r="D23" s="93" t="str">
        <f t="shared" si="2"/>
        <v/>
      </c>
      <c r="E23" s="59" t="str">
        <f t="shared" si="0"/>
        <v/>
      </c>
      <c r="F23" s="59" t="str">
        <f t="shared" si="3"/>
        <v/>
      </c>
      <c r="G23" s="49" t="str">
        <f>IF(E23="","",Input!G26)</f>
        <v/>
      </c>
      <c r="H23" s="3" t="str">
        <f t="shared" si="4"/>
        <v/>
      </c>
      <c r="I23" s="21" t="str">
        <f t="shared" si="5"/>
        <v/>
      </c>
      <c r="X23" s="5"/>
      <c r="Z23" s="5"/>
      <c r="AD23" s="5"/>
      <c r="AF23" s="5"/>
    </row>
    <row r="24" spans="2:46" x14ac:dyDescent="0.25">
      <c r="B24" s="33">
        <v>19</v>
      </c>
      <c r="C24" s="59" t="str">
        <f t="shared" si="1"/>
        <v/>
      </c>
      <c r="D24" s="93" t="str">
        <f t="shared" si="2"/>
        <v/>
      </c>
      <c r="E24" s="59" t="str">
        <f t="shared" si="0"/>
        <v/>
      </c>
      <c r="F24" s="59" t="str">
        <f t="shared" si="3"/>
        <v/>
      </c>
      <c r="G24" s="49" t="str">
        <f>IF(E24="","",Input!G27)</f>
        <v/>
      </c>
      <c r="H24" s="3" t="str">
        <f t="shared" si="4"/>
        <v/>
      </c>
      <c r="I24" s="21" t="str">
        <f t="shared" si="5"/>
        <v/>
      </c>
      <c r="X24" s="5"/>
      <c r="Z24" s="5"/>
      <c r="AD24" s="5"/>
      <c r="AF24" s="5"/>
    </row>
    <row r="25" spans="2:46" x14ac:dyDescent="0.25">
      <c r="B25" s="33">
        <v>20</v>
      </c>
      <c r="C25" s="59" t="str">
        <f t="shared" si="1"/>
        <v/>
      </c>
      <c r="D25" s="93" t="str">
        <f t="shared" si="2"/>
        <v/>
      </c>
      <c r="E25" s="59" t="str">
        <f t="shared" si="0"/>
        <v/>
      </c>
      <c r="F25" s="59" t="str">
        <f t="shared" si="3"/>
        <v/>
      </c>
      <c r="G25" s="49" t="str">
        <f>IF(E25="","",Input!G28)</f>
        <v/>
      </c>
      <c r="H25" s="3" t="str">
        <f t="shared" si="4"/>
        <v/>
      </c>
      <c r="I25" s="21" t="str">
        <f t="shared" si="5"/>
        <v/>
      </c>
      <c r="X25" s="5"/>
      <c r="Z25" s="5"/>
      <c r="AD25" s="5"/>
      <c r="AF25" s="5"/>
    </row>
    <row r="26" spans="2:46" x14ac:dyDescent="0.25">
      <c r="B26" s="33">
        <v>21</v>
      </c>
      <c r="C26" s="59" t="str">
        <f t="shared" si="1"/>
        <v/>
      </c>
      <c r="D26" s="93" t="str">
        <f t="shared" si="2"/>
        <v/>
      </c>
      <c r="E26" s="59" t="str">
        <f t="shared" si="0"/>
        <v/>
      </c>
      <c r="F26" s="59" t="str">
        <f t="shared" si="3"/>
        <v/>
      </c>
      <c r="G26" s="49" t="str">
        <f>IF(E26="","",Input!G29)</f>
        <v/>
      </c>
      <c r="H26" s="3" t="str">
        <f t="shared" si="4"/>
        <v/>
      </c>
      <c r="I26" s="21" t="str">
        <f t="shared" si="5"/>
        <v/>
      </c>
      <c r="X26" s="5"/>
      <c r="Z26" s="5"/>
      <c r="AD26" s="5"/>
      <c r="AF26" s="5"/>
    </row>
    <row r="27" spans="2:46" x14ac:dyDescent="0.25">
      <c r="B27" s="33">
        <v>22</v>
      </c>
      <c r="C27" s="59" t="str">
        <f t="shared" si="1"/>
        <v/>
      </c>
      <c r="D27" s="93" t="str">
        <f t="shared" si="2"/>
        <v/>
      </c>
      <c r="E27" s="59" t="str">
        <f t="shared" si="0"/>
        <v/>
      </c>
      <c r="F27" s="59" t="str">
        <f t="shared" si="3"/>
        <v/>
      </c>
      <c r="G27" s="49" t="str">
        <f>IF(E27="","",Input!G30)</f>
        <v/>
      </c>
      <c r="H27" s="3" t="str">
        <f t="shared" si="4"/>
        <v/>
      </c>
      <c r="I27" s="21" t="str">
        <f t="shared" si="5"/>
        <v/>
      </c>
      <c r="X27" s="5"/>
      <c r="Z27" s="5"/>
      <c r="AD27" s="5"/>
      <c r="AF27" s="5"/>
    </row>
    <row r="28" spans="2:46" x14ac:dyDescent="0.25">
      <c r="B28" s="33">
        <v>23</v>
      </c>
      <c r="C28" s="59" t="str">
        <f t="shared" si="1"/>
        <v/>
      </c>
      <c r="D28" s="93" t="str">
        <f t="shared" si="2"/>
        <v/>
      </c>
      <c r="E28" s="59" t="str">
        <f t="shared" si="0"/>
        <v/>
      </c>
      <c r="F28" s="59" t="str">
        <f t="shared" si="3"/>
        <v/>
      </c>
      <c r="G28" s="49" t="str">
        <f>IF(E28="","",Input!G31)</f>
        <v/>
      </c>
      <c r="H28" s="3" t="str">
        <f t="shared" si="4"/>
        <v/>
      </c>
      <c r="I28" s="21" t="str">
        <f t="shared" si="5"/>
        <v/>
      </c>
      <c r="X28" s="5"/>
      <c r="Z28" s="5"/>
      <c r="AD28" s="5"/>
      <c r="AF28" s="5"/>
    </row>
    <row r="29" spans="2:46" x14ac:dyDescent="0.25">
      <c r="B29" s="33">
        <v>24</v>
      </c>
      <c r="C29" s="59" t="str">
        <f t="shared" si="1"/>
        <v/>
      </c>
      <c r="D29" s="93" t="str">
        <f t="shared" si="2"/>
        <v/>
      </c>
      <c r="E29" s="59" t="str">
        <f t="shared" si="0"/>
        <v/>
      </c>
      <c r="F29" s="59" t="str">
        <f t="shared" si="3"/>
        <v/>
      </c>
      <c r="G29" s="49" t="str">
        <f>IF(E29="","",Input!G32)</f>
        <v/>
      </c>
      <c r="H29" s="3" t="str">
        <f t="shared" si="4"/>
        <v/>
      </c>
      <c r="I29" s="21" t="str">
        <f t="shared" si="5"/>
        <v/>
      </c>
    </row>
    <row r="30" spans="2:46" ht="15.75" thickBot="1" x14ac:dyDescent="0.3">
      <c r="B30" s="30">
        <v>25</v>
      </c>
      <c r="C30" s="61" t="str">
        <f t="shared" si="1"/>
        <v/>
      </c>
      <c r="D30" s="61" t="str">
        <f t="shared" si="2"/>
        <v/>
      </c>
      <c r="E30" s="61" t="str">
        <f t="shared" si="0"/>
        <v/>
      </c>
      <c r="F30" s="61" t="str">
        <f t="shared" si="3"/>
        <v/>
      </c>
      <c r="G30" s="101" t="str">
        <f>IF(E30="","",Input!G33)</f>
        <v/>
      </c>
      <c r="H30" s="22" t="str">
        <f t="shared" si="4"/>
        <v/>
      </c>
      <c r="I30" s="23" t="str">
        <f t="shared" si="5"/>
        <v/>
      </c>
    </row>
    <row r="31" spans="2:46" ht="15.75" thickBot="1" x14ac:dyDescent="0.3">
      <c r="AK31" s="5"/>
      <c r="AL31" s="5"/>
      <c r="AM31" s="5"/>
      <c r="AN31" s="5"/>
      <c r="AR31" s="5"/>
      <c r="AT31" s="5"/>
    </row>
    <row r="32" spans="2:46" ht="15.75" thickBot="1" x14ac:dyDescent="0.3">
      <c r="C32" s="29" t="s">
        <v>36</v>
      </c>
      <c r="D32" s="20">
        <f>COUNT(Y.fit)</f>
        <v>3</v>
      </c>
      <c r="E32" s="5"/>
      <c r="H32" s="55" t="s">
        <v>81</v>
      </c>
      <c r="I32" s="158">
        <f>limit</f>
        <v>960</v>
      </c>
      <c r="N32" s="6"/>
      <c r="AL32" s="5"/>
      <c r="AN32" s="5"/>
      <c r="AR32" s="5"/>
      <c r="AT32" s="5"/>
    </row>
    <row r="33" spans="2:46" x14ac:dyDescent="0.25">
      <c r="C33" s="33" t="s">
        <v>37</v>
      </c>
      <c r="D33" s="21" t="b">
        <f>MOD(N,2)&lt;&gt;0</f>
        <v>1</v>
      </c>
      <c r="G33" s="1"/>
      <c r="N33" s="6"/>
      <c r="AL33" s="5"/>
      <c r="AN33" s="5"/>
      <c r="AR33" s="5"/>
      <c r="AT33" s="5"/>
    </row>
    <row r="34" spans="2:46" ht="15.75" thickBot="1" x14ac:dyDescent="0.3">
      <c r="C34" s="92" t="s">
        <v>83</v>
      </c>
      <c r="D34" s="94" t="b">
        <f>limit&gt;Input!G9</f>
        <v>1</v>
      </c>
      <c r="AL34" s="5"/>
      <c r="AN34" s="5"/>
      <c r="AR34" s="5"/>
      <c r="AT34" s="5"/>
    </row>
    <row r="35" spans="2:46" x14ac:dyDescent="0.25">
      <c r="AJ35" s="5"/>
      <c r="AK35" s="5"/>
      <c r="AL35" s="5"/>
      <c r="AM35" s="5"/>
      <c r="AQ35" s="5"/>
      <c r="AS35" s="5"/>
    </row>
    <row r="36" spans="2:46" x14ac:dyDescent="0.25">
      <c r="AK36" s="5"/>
      <c r="AM36" s="5"/>
      <c r="AQ36" s="5"/>
      <c r="AS36" s="5"/>
    </row>
    <row r="37" spans="2:46" ht="15.75" x14ac:dyDescent="0.25">
      <c r="B37" s="41" t="s">
        <v>41</v>
      </c>
      <c r="C37" s="6"/>
      <c r="D37" s="6"/>
      <c r="E37" s="6"/>
      <c r="F37" s="6"/>
    </row>
    <row r="38" spans="2:46" ht="15.75" x14ac:dyDescent="0.25">
      <c r="B38" s="41" t="str">
        <f>Label</f>
        <v>DeKalb County Population, 1900 to 2040</v>
      </c>
      <c r="C38" s="6"/>
      <c r="D38" s="6"/>
      <c r="E38" s="6"/>
      <c r="F38" s="6"/>
      <c r="AJ38" s="5"/>
      <c r="AK38" s="5"/>
      <c r="AL38" s="5"/>
      <c r="AM38" s="5"/>
      <c r="AQ38" s="5"/>
      <c r="AS38" s="5"/>
    </row>
    <row r="39" spans="2:46" ht="15.75" thickBot="1" x14ac:dyDescent="0.3">
      <c r="C39" s="5"/>
      <c r="AK39" s="5"/>
      <c r="AM39" s="5"/>
      <c r="AQ39" s="5"/>
      <c r="AS39" s="5"/>
    </row>
    <row r="40" spans="2:46" x14ac:dyDescent="0.25">
      <c r="B40" s="29" t="s">
        <v>66</v>
      </c>
      <c r="C40" s="19" t="s">
        <v>67</v>
      </c>
      <c r="D40" s="19" t="s">
        <v>68</v>
      </c>
      <c r="E40" s="19" t="s">
        <v>0</v>
      </c>
      <c r="F40" s="20" t="s">
        <v>1</v>
      </c>
      <c r="AK40" s="5"/>
      <c r="AM40" s="5"/>
      <c r="AQ40" s="5"/>
      <c r="AS40" s="5"/>
    </row>
    <row r="41" spans="2:46" x14ac:dyDescent="0.25">
      <c r="B41" s="31" t="s">
        <v>2</v>
      </c>
      <c r="C41" s="4" t="s">
        <v>3</v>
      </c>
      <c r="D41" s="4" t="s">
        <v>4</v>
      </c>
      <c r="E41" s="4" t="s">
        <v>5</v>
      </c>
      <c r="F41" s="32" t="s">
        <v>6</v>
      </c>
      <c r="AK41" s="5"/>
      <c r="AM41" s="5"/>
      <c r="AQ41" s="5"/>
      <c r="AS41" s="5"/>
    </row>
    <row r="42" spans="2:46" x14ac:dyDescent="0.25">
      <c r="B42" s="26" t="str">
        <f>$E$6</f>
        <v/>
      </c>
      <c r="C42" s="49" t="str">
        <f>$G$6</f>
        <v/>
      </c>
      <c r="D42" s="3" t="str">
        <f>$H$6</f>
        <v/>
      </c>
      <c r="E42" s="3" t="str">
        <f t="shared" ref="E42:E66" si="6">IF(D42&lt;&gt;"",D42^2,"")</f>
        <v/>
      </c>
      <c r="F42" s="48" t="str">
        <f t="shared" ref="F42:F66" si="7">IF(D42&lt;&gt;"",C42*D42,"")</f>
        <v/>
      </c>
    </row>
    <row r="43" spans="2:46" x14ac:dyDescent="0.25">
      <c r="B43" s="33" t="str">
        <f>$E$7</f>
        <v/>
      </c>
      <c r="C43" s="49" t="str">
        <f>$G$7</f>
        <v/>
      </c>
      <c r="D43" s="3" t="str">
        <f>$H$7</f>
        <v/>
      </c>
      <c r="E43" s="3" t="str">
        <f t="shared" si="6"/>
        <v/>
      </c>
      <c r="F43" s="48" t="str">
        <f t="shared" si="7"/>
        <v/>
      </c>
    </row>
    <row r="44" spans="2:46" x14ac:dyDescent="0.25">
      <c r="B44" s="33" t="str">
        <f>$E$8</f>
        <v/>
      </c>
      <c r="C44" s="49" t="str">
        <f>$G$8</f>
        <v/>
      </c>
      <c r="D44" s="3" t="str">
        <f>$H$8</f>
        <v/>
      </c>
      <c r="E44" s="3" t="str">
        <f t="shared" si="6"/>
        <v/>
      </c>
      <c r="F44" s="48" t="str">
        <f t="shared" si="7"/>
        <v/>
      </c>
    </row>
    <row r="45" spans="2:46" x14ac:dyDescent="0.25">
      <c r="B45" s="33" t="str">
        <f>$E$9</f>
        <v/>
      </c>
      <c r="C45" s="49" t="str">
        <f>$G$9</f>
        <v/>
      </c>
      <c r="D45" s="3" t="str">
        <f>$H$9</f>
        <v/>
      </c>
      <c r="E45" s="3" t="str">
        <f t="shared" si="6"/>
        <v/>
      </c>
      <c r="F45" s="48" t="str">
        <f t="shared" si="7"/>
        <v/>
      </c>
    </row>
    <row r="46" spans="2:46" x14ac:dyDescent="0.25">
      <c r="B46" s="33" t="str">
        <f>$E$10</f>
        <v/>
      </c>
      <c r="C46" s="49" t="str">
        <f>$G$10</f>
        <v/>
      </c>
      <c r="D46" s="3" t="str">
        <f>$H$10</f>
        <v/>
      </c>
      <c r="E46" s="3" t="str">
        <f t="shared" si="6"/>
        <v/>
      </c>
      <c r="F46" s="48" t="str">
        <f t="shared" si="7"/>
        <v/>
      </c>
    </row>
    <row r="47" spans="2:46" x14ac:dyDescent="0.25">
      <c r="B47" s="33" t="str">
        <f>$E$11</f>
        <v/>
      </c>
      <c r="C47" s="49" t="str">
        <f>$G$11</f>
        <v/>
      </c>
      <c r="D47" s="3" t="str">
        <f>$H$11</f>
        <v/>
      </c>
      <c r="E47" s="3" t="str">
        <f t="shared" si="6"/>
        <v/>
      </c>
      <c r="F47" s="48" t="str">
        <f t="shared" si="7"/>
        <v/>
      </c>
    </row>
    <row r="48" spans="2:46" x14ac:dyDescent="0.25">
      <c r="B48" s="33" t="str">
        <f>$E$12</f>
        <v/>
      </c>
      <c r="C48" s="49" t="str">
        <f>$G$12</f>
        <v/>
      </c>
      <c r="D48" s="3" t="str">
        <f>$H$12</f>
        <v/>
      </c>
      <c r="E48" s="3" t="str">
        <f t="shared" si="6"/>
        <v/>
      </c>
      <c r="F48" s="48" t="str">
        <f t="shared" si="7"/>
        <v/>
      </c>
      <c r="AJ48" s="5"/>
      <c r="AK48" s="5"/>
      <c r="AL48" s="5"/>
      <c r="AM48" s="5"/>
      <c r="AQ48" s="5"/>
      <c r="AS48" s="5"/>
    </row>
    <row r="49" spans="2:45" x14ac:dyDescent="0.25">
      <c r="B49" s="33" t="str">
        <f>$E$13</f>
        <v/>
      </c>
      <c r="C49" s="49" t="str">
        <f>$G$13</f>
        <v/>
      </c>
      <c r="D49" s="3" t="str">
        <f>$H$13</f>
        <v/>
      </c>
      <c r="E49" s="3" t="str">
        <f t="shared" si="6"/>
        <v/>
      </c>
      <c r="F49" s="48" t="str">
        <f t="shared" si="7"/>
        <v/>
      </c>
      <c r="AK49" s="5"/>
      <c r="AM49" s="5"/>
      <c r="AQ49" s="5"/>
      <c r="AS49" s="5"/>
    </row>
    <row r="50" spans="2:45" x14ac:dyDescent="0.25">
      <c r="B50" s="33" t="str">
        <f>$E$14</f>
        <v/>
      </c>
      <c r="C50" s="49" t="str">
        <f>$G$14</f>
        <v/>
      </c>
      <c r="D50" s="3" t="str">
        <f>$H$14</f>
        <v/>
      </c>
      <c r="E50" s="3" t="str">
        <f t="shared" si="6"/>
        <v/>
      </c>
      <c r="F50" s="48" t="str">
        <f t="shared" si="7"/>
        <v/>
      </c>
      <c r="AK50" s="5"/>
      <c r="AM50" s="5"/>
      <c r="AQ50" s="5"/>
      <c r="AS50" s="5"/>
    </row>
    <row r="51" spans="2:45" x14ac:dyDescent="0.25">
      <c r="B51" s="58">
        <f>$E$15</f>
        <v>1990</v>
      </c>
      <c r="C51" s="49">
        <f>$G$15</f>
        <v>545.83699999999999</v>
      </c>
      <c r="D51" s="3">
        <f>$H$15</f>
        <v>-1</v>
      </c>
      <c r="E51" s="3">
        <f t="shared" si="6"/>
        <v>1</v>
      </c>
      <c r="F51" s="48">
        <f t="shared" si="7"/>
        <v>-545.83699999999999</v>
      </c>
      <c r="AK51" s="5"/>
      <c r="AM51" s="5"/>
      <c r="AQ51" s="5"/>
      <c r="AS51" s="5"/>
    </row>
    <row r="52" spans="2:45" x14ac:dyDescent="0.25">
      <c r="B52" s="58">
        <f>$E$16</f>
        <v>2000</v>
      </c>
      <c r="C52" s="49">
        <f>$G$16</f>
        <v>665.86500000000001</v>
      </c>
      <c r="D52" s="3">
        <f>$H$16</f>
        <v>0</v>
      </c>
      <c r="E52" s="3">
        <f t="shared" si="6"/>
        <v>0</v>
      </c>
      <c r="F52" s="48">
        <f t="shared" si="7"/>
        <v>0</v>
      </c>
    </row>
    <row r="53" spans="2:45" x14ac:dyDescent="0.25">
      <c r="B53" s="58">
        <f>$E$17</f>
        <v>2010</v>
      </c>
      <c r="C53" s="49">
        <f>$G$17</f>
        <v>691.89300000000003</v>
      </c>
      <c r="D53" s="3">
        <f>$H$17</f>
        <v>1</v>
      </c>
      <c r="E53" s="3">
        <f t="shared" si="6"/>
        <v>1</v>
      </c>
      <c r="F53" s="48">
        <f t="shared" si="7"/>
        <v>691.89300000000003</v>
      </c>
    </row>
    <row r="54" spans="2:45" x14ac:dyDescent="0.25">
      <c r="B54" s="58" t="str">
        <f>$E$18</f>
        <v/>
      </c>
      <c r="C54" s="49" t="str">
        <f>$G$18</f>
        <v/>
      </c>
      <c r="D54" s="3" t="str">
        <f>$H$18</f>
        <v/>
      </c>
      <c r="E54" s="3" t="str">
        <f t="shared" si="6"/>
        <v/>
      </c>
      <c r="F54" s="48" t="str">
        <f t="shared" si="7"/>
        <v/>
      </c>
    </row>
    <row r="55" spans="2:45" x14ac:dyDescent="0.25">
      <c r="B55" s="58" t="str">
        <f>$E$19</f>
        <v/>
      </c>
      <c r="C55" s="49" t="str">
        <f>$G$19</f>
        <v/>
      </c>
      <c r="D55" s="3" t="str">
        <f>$H$19</f>
        <v/>
      </c>
      <c r="E55" s="3" t="str">
        <f t="shared" si="6"/>
        <v/>
      </c>
      <c r="F55" s="48" t="str">
        <f t="shared" si="7"/>
        <v/>
      </c>
    </row>
    <row r="56" spans="2:45" x14ac:dyDescent="0.25">
      <c r="B56" s="58" t="str">
        <f>$E$20</f>
        <v/>
      </c>
      <c r="C56" s="49" t="str">
        <f>$G$20</f>
        <v/>
      </c>
      <c r="D56" s="3" t="str">
        <f>$H$20</f>
        <v/>
      </c>
      <c r="E56" s="3" t="str">
        <f t="shared" si="6"/>
        <v/>
      </c>
      <c r="F56" s="48" t="str">
        <f t="shared" si="7"/>
        <v/>
      </c>
    </row>
    <row r="57" spans="2:45" x14ac:dyDescent="0.25">
      <c r="B57" s="58" t="str">
        <f>$E$21</f>
        <v/>
      </c>
      <c r="C57" s="49" t="str">
        <f>$G$21</f>
        <v/>
      </c>
      <c r="D57" s="3" t="str">
        <f>$H$21</f>
        <v/>
      </c>
      <c r="E57" s="3" t="str">
        <f t="shared" si="6"/>
        <v/>
      </c>
      <c r="F57" s="48" t="str">
        <f t="shared" si="7"/>
        <v/>
      </c>
    </row>
    <row r="58" spans="2:45" x14ac:dyDescent="0.25">
      <c r="B58" s="58" t="str">
        <f>$E$22</f>
        <v/>
      </c>
      <c r="C58" s="49" t="str">
        <f>$G$22</f>
        <v/>
      </c>
      <c r="D58" s="3" t="str">
        <f>$H$22</f>
        <v/>
      </c>
      <c r="E58" s="3" t="str">
        <f t="shared" si="6"/>
        <v/>
      </c>
      <c r="F58" s="48" t="str">
        <f t="shared" si="7"/>
        <v/>
      </c>
    </row>
    <row r="59" spans="2:45" x14ac:dyDescent="0.25">
      <c r="B59" s="58" t="str">
        <f>$E$23</f>
        <v/>
      </c>
      <c r="C59" s="49" t="str">
        <f>$G$23</f>
        <v/>
      </c>
      <c r="D59" s="3" t="str">
        <f>$H$23</f>
        <v/>
      </c>
      <c r="E59" s="3" t="str">
        <f t="shared" si="6"/>
        <v/>
      </c>
      <c r="F59" s="48" t="str">
        <f t="shared" si="7"/>
        <v/>
      </c>
    </row>
    <row r="60" spans="2:45" x14ac:dyDescent="0.25">
      <c r="B60" s="58" t="str">
        <f>$E$24</f>
        <v/>
      </c>
      <c r="C60" s="49" t="str">
        <f>$G$24</f>
        <v/>
      </c>
      <c r="D60" s="3" t="str">
        <f>$H$24</f>
        <v/>
      </c>
      <c r="E60" s="3" t="str">
        <f t="shared" si="6"/>
        <v/>
      </c>
      <c r="F60" s="48" t="str">
        <f t="shared" si="7"/>
        <v/>
      </c>
    </row>
    <row r="61" spans="2:45" x14ac:dyDescent="0.25">
      <c r="B61" s="58" t="str">
        <f>$E$25</f>
        <v/>
      </c>
      <c r="C61" s="49" t="str">
        <f>$G$25</f>
        <v/>
      </c>
      <c r="D61" s="3" t="str">
        <f>$H$25</f>
        <v/>
      </c>
      <c r="E61" s="3" t="str">
        <f t="shared" si="6"/>
        <v/>
      </c>
      <c r="F61" s="48" t="str">
        <f t="shared" si="7"/>
        <v/>
      </c>
    </row>
    <row r="62" spans="2:45" x14ac:dyDescent="0.25">
      <c r="B62" s="58" t="str">
        <f>$E$26</f>
        <v/>
      </c>
      <c r="C62" s="49" t="str">
        <f>$G$26</f>
        <v/>
      </c>
      <c r="D62" s="3" t="str">
        <f>$H$26</f>
        <v/>
      </c>
      <c r="E62" s="3" t="str">
        <f t="shared" si="6"/>
        <v/>
      </c>
      <c r="F62" s="48" t="str">
        <f t="shared" si="7"/>
        <v/>
      </c>
    </row>
    <row r="63" spans="2:45" x14ac:dyDescent="0.25">
      <c r="B63" s="58" t="str">
        <f>$E$27</f>
        <v/>
      </c>
      <c r="C63" s="49" t="str">
        <f>$G$27</f>
        <v/>
      </c>
      <c r="D63" s="3" t="str">
        <f>$H27</f>
        <v/>
      </c>
      <c r="E63" s="3" t="str">
        <f t="shared" si="6"/>
        <v/>
      </c>
      <c r="F63" s="48" t="str">
        <f t="shared" si="7"/>
        <v/>
      </c>
      <c r="J63" s="24"/>
      <c r="K63" s="25"/>
    </row>
    <row r="64" spans="2:45" x14ac:dyDescent="0.25">
      <c r="B64" s="58" t="str">
        <f>$E$28</f>
        <v/>
      </c>
      <c r="C64" s="49" t="str">
        <f>$G$28</f>
        <v/>
      </c>
      <c r="D64" s="3" t="str">
        <f>$H$28</f>
        <v/>
      </c>
      <c r="E64" s="3" t="str">
        <f t="shared" si="6"/>
        <v/>
      </c>
      <c r="F64" s="48" t="str">
        <f t="shared" si="7"/>
        <v/>
      </c>
    </row>
    <row r="65" spans="2:13" x14ac:dyDescent="0.25">
      <c r="B65" s="58" t="str">
        <f>$E$29</f>
        <v/>
      </c>
      <c r="C65" s="49" t="str">
        <f>$G$29</f>
        <v/>
      </c>
      <c r="D65" s="3" t="str">
        <f>$H29</f>
        <v/>
      </c>
      <c r="E65" s="3" t="str">
        <f t="shared" si="6"/>
        <v/>
      </c>
      <c r="F65" s="48" t="str">
        <f t="shared" si="7"/>
        <v/>
      </c>
    </row>
    <row r="66" spans="2:13" x14ac:dyDescent="0.25">
      <c r="B66" s="58" t="str">
        <f>$E$30</f>
        <v/>
      </c>
      <c r="C66" s="49" t="str">
        <f>$G$30</f>
        <v/>
      </c>
      <c r="D66" s="3" t="str">
        <f>$H$30</f>
        <v/>
      </c>
      <c r="E66" s="3" t="str">
        <f t="shared" si="6"/>
        <v/>
      </c>
      <c r="F66" s="48" t="str">
        <f t="shared" si="7"/>
        <v/>
      </c>
      <c r="L66" s="6"/>
      <c r="M66" s="6"/>
    </row>
    <row r="67" spans="2:13" ht="15.75" thickBot="1" x14ac:dyDescent="0.3">
      <c r="B67" s="27" t="s">
        <v>7</v>
      </c>
      <c r="C67" s="102">
        <f>SUM(C42:C66)</f>
        <v>1903.595</v>
      </c>
      <c r="D67" s="28"/>
      <c r="E67" s="105">
        <f>SUM(E42:E66)</f>
        <v>2</v>
      </c>
      <c r="F67" s="103">
        <f>SUM(F42:F66)</f>
        <v>146.05600000000004</v>
      </c>
    </row>
    <row r="69" spans="2:13" x14ac:dyDescent="0.25">
      <c r="B69" s="7" t="s">
        <v>8</v>
      </c>
      <c r="C69" s="5">
        <f>N</f>
        <v>3</v>
      </c>
    </row>
    <row r="71" spans="2:13" ht="15.75" x14ac:dyDescent="0.25">
      <c r="B71" s="7" t="s">
        <v>9</v>
      </c>
      <c r="C71" s="5" t="s">
        <v>10</v>
      </c>
      <c r="I71" s="34"/>
      <c r="J71" s="6"/>
      <c r="K71" s="6"/>
      <c r="L71" s="24"/>
    </row>
    <row r="72" spans="2:13" x14ac:dyDescent="0.25">
      <c r="B72" s="14" t="s">
        <v>154</v>
      </c>
      <c r="C72" s="97" t="str">
        <f>TEXT($C$67,"#,###.###")&amp;" / "&amp;TEXT($C$69,"#,###")</f>
        <v>1,903.595 / 3</v>
      </c>
      <c r="L72" s="24"/>
    </row>
    <row r="73" spans="2:13" x14ac:dyDescent="0.25">
      <c r="B73" s="181" t="s">
        <v>155</v>
      </c>
      <c r="C73" s="182">
        <f>$C$67/$C$69</f>
        <v>634.53166666666664</v>
      </c>
      <c r="L73" s="24"/>
    </row>
    <row r="74" spans="2:13" x14ac:dyDescent="0.25">
      <c r="J74" s="7"/>
      <c r="K74" s="13"/>
      <c r="L74" s="24"/>
    </row>
    <row r="75" spans="2:13" x14ac:dyDescent="0.25">
      <c r="B75" s="7" t="s">
        <v>11</v>
      </c>
      <c r="C75" s="5" t="s">
        <v>42</v>
      </c>
      <c r="L75" s="1"/>
    </row>
    <row r="76" spans="2:13" x14ac:dyDescent="0.25">
      <c r="B76" s="14" t="s">
        <v>154</v>
      </c>
      <c r="C76" s="16" t="str">
        <f>TEXT($F$67,"#,###.###")&amp;" / "&amp;TEXT($E$67,"#,###")</f>
        <v>146.056 / 2</v>
      </c>
      <c r="J76" s="24"/>
      <c r="K76" s="24"/>
      <c r="L76" s="1"/>
    </row>
    <row r="77" spans="2:13" x14ac:dyDescent="0.25">
      <c r="B77" s="181" t="s">
        <v>155</v>
      </c>
      <c r="C77" s="182">
        <f>$F$67/$E$67</f>
        <v>73.02800000000002</v>
      </c>
      <c r="J77" s="24"/>
      <c r="K77" s="24"/>
      <c r="L77" s="1"/>
    </row>
    <row r="78" spans="2:13" x14ac:dyDescent="0.25">
      <c r="K78" s="24"/>
      <c r="L78" s="1"/>
    </row>
    <row r="79" spans="2:13" x14ac:dyDescent="0.25">
      <c r="J79" s="24"/>
      <c r="K79" s="24"/>
      <c r="L79" s="1"/>
    </row>
    <row r="80" spans="2:13" ht="15.75" x14ac:dyDescent="0.25">
      <c r="B80" s="99" t="s">
        <v>43</v>
      </c>
      <c r="C80" s="6"/>
      <c r="D80" s="6"/>
      <c r="J80" s="24"/>
      <c r="K80" s="24"/>
      <c r="L80" s="1"/>
    </row>
    <row r="81" spans="2:12" ht="15.75" x14ac:dyDescent="0.25">
      <c r="B81" s="41" t="str">
        <f>Label</f>
        <v>DeKalb County Population, 1900 to 2040</v>
      </c>
      <c r="C81" s="6"/>
      <c r="D81" s="6"/>
      <c r="E81" s="6"/>
      <c r="F81" s="6"/>
      <c r="J81" s="24"/>
      <c r="K81" s="24"/>
      <c r="L81" s="1"/>
    </row>
    <row r="82" spans="2:12" x14ac:dyDescent="0.25">
      <c r="F82" s="6"/>
      <c r="J82" s="24"/>
      <c r="K82" s="24"/>
      <c r="L82" s="1"/>
    </row>
    <row r="83" spans="2:12" ht="15.75" thickBot="1" x14ac:dyDescent="0.3">
      <c r="J83" s="24"/>
      <c r="K83" s="24"/>
    </row>
    <row r="84" spans="2:12" x14ac:dyDescent="0.25">
      <c r="B84" s="29" t="s">
        <v>163</v>
      </c>
      <c r="C84" s="19" t="s">
        <v>40</v>
      </c>
      <c r="D84" s="19" t="s">
        <v>38</v>
      </c>
      <c r="E84" s="20" t="s">
        <v>14</v>
      </c>
      <c r="G84" s="24"/>
      <c r="K84" s="24"/>
      <c r="L84" s="24"/>
    </row>
    <row r="85" spans="2:12" x14ac:dyDescent="0.25">
      <c r="B85" s="31" t="s">
        <v>2</v>
      </c>
      <c r="C85" s="4" t="s">
        <v>3</v>
      </c>
      <c r="D85" s="4" t="s">
        <v>4</v>
      </c>
      <c r="E85" s="32" t="s">
        <v>5</v>
      </c>
      <c r="G85" s="1"/>
      <c r="K85" s="24"/>
      <c r="L85" s="24"/>
    </row>
    <row r="86" spans="2:12" x14ac:dyDescent="0.25">
      <c r="B86" s="26" t="str">
        <f t="shared" ref="B86:B110" si="8">IF(C86="","",IF(C86=base.year,1,B85+1))</f>
        <v/>
      </c>
      <c r="C86" s="2" t="str">
        <f>$F$6</f>
        <v/>
      </c>
      <c r="D86" s="2" t="str">
        <f>$I$6</f>
        <v/>
      </c>
      <c r="E86" s="48" t="str">
        <f t="shared" ref="E86:E110" si="9">IF(C86="","",ROUND(C$73+(C$77*D86),3))</f>
        <v/>
      </c>
      <c r="G86" s="1"/>
      <c r="K86" s="24"/>
      <c r="L86" s="24"/>
    </row>
    <row r="87" spans="2:12" x14ac:dyDescent="0.25">
      <c r="B87" s="33" t="str">
        <f t="shared" si="8"/>
        <v/>
      </c>
      <c r="C87" s="3" t="str">
        <f>$F$7</f>
        <v/>
      </c>
      <c r="D87" s="3" t="str">
        <f>$I$7</f>
        <v/>
      </c>
      <c r="E87" s="48" t="str">
        <f t="shared" si="9"/>
        <v/>
      </c>
      <c r="G87" s="1"/>
      <c r="K87" s="24"/>
      <c r="L87" s="24"/>
    </row>
    <row r="88" spans="2:12" x14ac:dyDescent="0.25">
      <c r="B88" s="33" t="str">
        <f t="shared" si="8"/>
        <v/>
      </c>
      <c r="C88" s="3" t="str">
        <f>$F$8</f>
        <v/>
      </c>
      <c r="D88" s="3" t="str">
        <f>$I$8</f>
        <v/>
      </c>
      <c r="E88" s="48" t="str">
        <f t="shared" si="9"/>
        <v/>
      </c>
      <c r="G88" s="1"/>
      <c r="K88" s="24"/>
      <c r="L88" s="24"/>
    </row>
    <row r="89" spans="2:12" x14ac:dyDescent="0.25">
      <c r="B89" s="33" t="str">
        <f t="shared" si="8"/>
        <v/>
      </c>
      <c r="C89" s="3" t="str">
        <f>$F$9</f>
        <v/>
      </c>
      <c r="D89" s="3" t="str">
        <f>$I$9</f>
        <v/>
      </c>
      <c r="E89" s="48" t="str">
        <f t="shared" si="9"/>
        <v/>
      </c>
      <c r="G89" s="1"/>
      <c r="K89" s="24"/>
      <c r="L89" s="24"/>
    </row>
    <row r="90" spans="2:12" x14ac:dyDescent="0.25">
      <c r="B90" s="33" t="str">
        <f t="shared" si="8"/>
        <v/>
      </c>
      <c r="C90" s="3" t="str">
        <f>$F$10</f>
        <v/>
      </c>
      <c r="D90" s="3" t="str">
        <f>$I$10</f>
        <v/>
      </c>
      <c r="E90" s="48" t="str">
        <f t="shared" si="9"/>
        <v/>
      </c>
      <c r="G90" s="1"/>
      <c r="K90" s="24"/>
      <c r="L90" s="24"/>
    </row>
    <row r="91" spans="2:12" x14ac:dyDescent="0.25">
      <c r="B91" s="33" t="str">
        <f t="shared" si="8"/>
        <v/>
      </c>
      <c r="C91" s="3" t="str">
        <f>$F$11</f>
        <v/>
      </c>
      <c r="D91" s="3" t="str">
        <f>$I$11</f>
        <v/>
      </c>
      <c r="E91" s="48" t="str">
        <f t="shared" si="9"/>
        <v/>
      </c>
      <c r="G91" s="1"/>
      <c r="K91" s="24"/>
      <c r="L91" s="24"/>
    </row>
    <row r="92" spans="2:12" x14ac:dyDescent="0.25">
      <c r="B92" s="33" t="str">
        <f t="shared" si="8"/>
        <v/>
      </c>
      <c r="C92" s="3" t="str">
        <f>$F$12</f>
        <v/>
      </c>
      <c r="D92" s="3" t="str">
        <f>$I$12</f>
        <v/>
      </c>
      <c r="E92" s="48" t="str">
        <f t="shared" si="9"/>
        <v/>
      </c>
      <c r="K92" s="24"/>
      <c r="L92" s="24"/>
    </row>
    <row r="93" spans="2:12" x14ac:dyDescent="0.25">
      <c r="B93" s="33" t="str">
        <f t="shared" si="8"/>
        <v/>
      </c>
      <c r="C93" s="3" t="str">
        <f>$F$13</f>
        <v/>
      </c>
      <c r="D93" s="3" t="str">
        <f>$I$13</f>
        <v/>
      </c>
      <c r="E93" s="48" t="str">
        <f t="shared" si="9"/>
        <v/>
      </c>
      <c r="K93" s="24"/>
      <c r="L93" s="24"/>
    </row>
    <row r="94" spans="2:12" x14ac:dyDescent="0.25">
      <c r="B94" s="33" t="str">
        <f t="shared" si="8"/>
        <v/>
      </c>
      <c r="C94" s="3" t="str">
        <f>$F$14</f>
        <v/>
      </c>
      <c r="D94" s="3" t="str">
        <f>$I$14</f>
        <v/>
      </c>
      <c r="E94" s="48" t="str">
        <f t="shared" si="9"/>
        <v/>
      </c>
      <c r="K94" s="24"/>
      <c r="L94" s="24"/>
    </row>
    <row r="95" spans="2:12" x14ac:dyDescent="0.25">
      <c r="B95" s="33">
        <f t="shared" si="8"/>
        <v>1</v>
      </c>
      <c r="C95" s="3">
        <f>$F$15</f>
        <v>1990</v>
      </c>
      <c r="D95" s="3">
        <f>$I$15</f>
        <v>-1</v>
      </c>
      <c r="E95" s="48">
        <f t="shared" si="9"/>
        <v>561.50400000000002</v>
      </c>
    </row>
    <row r="96" spans="2:12" x14ac:dyDescent="0.25">
      <c r="B96" s="33">
        <f t="shared" si="8"/>
        <v>2</v>
      </c>
      <c r="C96" s="3">
        <f>$F$16</f>
        <v>2000</v>
      </c>
      <c r="D96" s="3">
        <f>$I$16</f>
        <v>0</v>
      </c>
      <c r="E96" s="48">
        <f t="shared" si="9"/>
        <v>634.53200000000004</v>
      </c>
    </row>
    <row r="97" spans="2:7" x14ac:dyDescent="0.25">
      <c r="B97" s="33">
        <f t="shared" si="8"/>
        <v>3</v>
      </c>
      <c r="C97" s="3">
        <f>$F$17</f>
        <v>2010</v>
      </c>
      <c r="D97" s="3">
        <f>$I$17</f>
        <v>1</v>
      </c>
      <c r="E97" s="48">
        <f t="shared" si="9"/>
        <v>707.56</v>
      </c>
    </row>
    <row r="98" spans="2:7" x14ac:dyDescent="0.25">
      <c r="B98" s="33">
        <f t="shared" si="8"/>
        <v>4</v>
      </c>
      <c r="C98" s="59">
        <f>$F$18</f>
        <v>2020</v>
      </c>
      <c r="D98" s="3">
        <f>$I$18</f>
        <v>2</v>
      </c>
      <c r="E98" s="48">
        <f t="shared" si="9"/>
        <v>780.58799999999997</v>
      </c>
    </row>
    <row r="99" spans="2:7" x14ac:dyDescent="0.25">
      <c r="B99" s="33">
        <f t="shared" si="8"/>
        <v>5</v>
      </c>
      <c r="C99" s="59">
        <f>$F$19</f>
        <v>2030</v>
      </c>
      <c r="D99" s="3">
        <f>$I$19</f>
        <v>3</v>
      </c>
      <c r="E99" s="48">
        <f t="shared" si="9"/>
        <v>853.61599999999999</v>
      </c>
    </row>
    <row r="100" spans="2:7" x14ac:dyDescent="0.25">
      <c r="B100" s="33">
        <f t="shared" si="8"/>
        <v>6</v>
      </c>
      <c r="C100" s="59">
        <f>$F$20</f>
        <v>2040</v>
      </c>
      <c r="D100" s="3">
        <f>$I$20</f>
        <v>4</v>
      </c>
      <c r="E100" s="48">
        <f t="shared" si="9"/>
        <v>926.64400000000001</v>
      </c>
    </row>
    <row r="101" spans="2:7" x14ac:dyDescent="0.25">
      <c r="B101" s="33" t="str">
        <f t="shared" si="8"/>
        <v/>
      </c>
      <c r="C101" s="59" t="str">
        <f>$F$21</f>
        <v/>
      </c>
      <c r="D101" s="3" t="str">
        <f>$I$21</f>
        <v/>
      </c>
      <c r="E101" s="48" t="str">
        <f t="shared" si="9"/>
        <v/>
      </c>
    </row>
    <row r="102" spans="2:7" x14ac:dyDescent="0.25">
      <c r="B102" s="33" t="str">
        <f t="shared" si="8"/>
        <v/>
      </c>
      <c r="C102" s="59" t="str">
        <f>$F$22</f>
        <v/>
      </c>
      <c r="D102" s="3" t="str">
        <f>$I$22</f>
        <v/>
      </c>
      <c r="E102" s="48" t="str">
        <f t="shared" si="9"/>
        <v/>
      </c>
    </row>
    <row r="103" spans="2:7" x14ac:dyDescent="0.25">
      <c r="B103" s="33" t="str">
        <f t="shared" si="8"/>
        <v/>
      </c>
      <c r="C103" s="59" t="str">
        <f>$F$23</f>
        <v/>
      </c>
      <c r="D103" s="3" t="str">
        <f>$I$23</f>
        <v/>
      </c>
      <c r="E103" s="48" t="str">
        <f t="shared" si="9"/>
        <v/>
      </c>
    </row>
    <row r="104" spans="2:7" x14ac:dyDescent="0.25">
      <c r="B104" s="33" t="str">
        <f t="shared" si="8"/>
        <v/>
      </c>
      <c r="C104" s="59" t="str">
        <f>$F$24</f>
        <v/>
      </c>
      <c r="D104" s="3" t="str">
        <f>$I$24</f>
        <v/>
      </c>
      <c r="E104" s="48" t="str">
        <f t="shared" si="9"/>
        <v/>
      </c>
    </row>
    <row r="105" spans="2:7" x14ac:dyDescent="0.25">
      <c r="B105" s="33" t="str">
        <f t="shared" si="8"/>
        <v/>
      </c>
      <c r="C105" s="59" t="str">
        <f>$F$25</f>
        <v/>
      </c>
      <c r="D105" s="3" t="str">
        <f>$I$25</f>
        <v/>
      </c>
      <c r="E105" s="48" t="str">
        <f t="shared" si="9"/>
        <v/>
      </c>
    </row>
    <row r="106" spans="2:7" x14ac:dyDescent="0.25">
      <c r="B106" s="33" t="str">
        <f t="shared" si="8"/>
        <v/>
      </c>
      <c r="C106" s="59" t="str">
        <f>$F$26</f>
        <v/>
      </c>
      <c r="D106" s="3" t="str">
        <f>$I$26</f>
        <v/>
      </c>
      <c r="E106" s="48" t="str">
        <f t="shared" si="9"/>
        <v/>
      </c>
    </row>
    <row r="107" spans="2:7" x14ac:dyDescent="0.25">
      <c r="B107" s="33" t="str">
        <f t="shared" si="8"/>
        <v/>
      </c>
      <c r="C107" s="59" t="str">
        <f>$F$27</f>
        <v/>
      </c>
      <c r="D107" s="3" t="str">
        <f>$I$27</f>
        <v/>
      </c>
      <c r="E107" s="48" t="str">
        <f t="shared" si="9"/>
        <v/>
      </c>
    </row>
    <row r="108" spans="2:7" x14ac:dyDescent="0.25">
      <c r="B108" s="33" t="str">
        <f t="shared" si="8"/>
        <v/>
      </c>
      <c r="C108" s="59" t="str">
        <f>$F$28</f>
        <v/>
      </c>
      <c r="D108" s="3" t="str">
        <f>$I$28</f>
        <v/>
      </c>
      <c r="E108" s="48" t="str">
        <f t="shared" si="9"/>
        <v/>
      </c>
    </row>
    <row r="109" spans="2:7" x14ac:dyDescent="0.25">
      <c r="B109" s="33" t="str">
        <f t="shared" si="8"/>
        <v/>
      </c>
      <c r="C109" s="59" t="str">
        <f>$F$29</f>
        <v/>
      </c>
      <c r="D109" s="3" t="str">
        <f>$I$29</f>
        <v/>
      </c>
      <c r="E109" s="48" t="str">
        <f t="shared" si="9"/>
        <v/>
      </c>
    </row>
    <row r="110" spans="2:7" ht="15.75" thickBot="1" x14ac:dyDescent="0.3">
      <c r="B110" s="30" t="str">
        <f t="shared" si="8"/>
        <v/>
      </c>
      <c r="C110" s="61" t="str">
        <f>$F$30</f>
        <v/>
      </c>
      <c r="D110" s="22" t="str">
        <f>$I$30</f>
        <v/>
      </c>
      <c r="E110" s="104" t="str">
        <f t="shared" si="9"/>
        <v/>
      </c>
    </row>
    <row r="111" spans="2:7" x14ac:dyDescent="0.25">
      <c r="B111" s="185"/>
      <c r="G111" s="8"/>
    </row>
    <row r="112" spans="2:7" x14ac:dyDescent="0.25">
      <c r="F112" s="8"/>
    </row>
    <row r="113" spans="2:6" x14ac:dyDescent="0.25">
      <c r="B113" s="57" t="s">
        <v>12</v>
      </c>
      <c r="C113" s="90">
        <f>C73</f>
        <v>634.53166666666664</v>
      </c>
      <c r="E113" s="7"/>
      <c r="F113" s="5"/>
    </row>
    <row r="114" spans="2:6" x14ac:dyDescent="0.25">
      <c r="B114" s="57" t="s">
        <v>13</v>
      </c>
      <c r="C114" s="90">
        <f>C77</f>
        <v>73.02800000000002</v>
      </c>
    </row>
    <row r="115" spans="2:6" x14ac:dyDescent="0.25">
      <c r="B115" s="7" t="s">
        <v>164</v>
      </c>
      <c r="C115" s="5">
        <f>INDEX($C$86:$E$110,index,2)</f>
        <v>-1</v>
      </c>
      <c r="E115" s="7"/>
      <c r="F115" s="5"/>
    </row>
    <row r="116" spans="2:6" x14ac:dyDescent="0.25">
      <c r="B116" s="57"/>
      <c r="C116" s="88"/>
      <c r="E116" s="8"/>
    </row>
    <row r="117" spans="2:6" x14ac:dyDescent="0.25">
      <c r="B117" s="7" t="str">
        <f>"Yc{1} = "</f>
        <v xml:space="preserve">Yc{1} = </v>
      </c>
      <c r="C117" t="str">
        <f>"a + bX{1})"</f>
        <v>a + bX{1})</v>
      </c>
    </row>
    <row r="118" spans="2:6" x14ac:dyDescent="0.25">
      <c r="B118" s="57" t="s">
        <v>158</v>
      </c>
      <c r="C118" t="str">
        <f>TEXT($C$113,"#,###.###")&amp;" + "&amp;TEXT($C$114,"#,###.###")&amp;"("&amp;TEXT($C$115,"#,###")&amp;" )"</f>
        <v>634.532 + 73.028(-1 )</v>
      </c>
    </row>
    <row r="119" spans="2:6" x14ac:dyDescent="0.25">
      <c r="B119" s="57" t="s">
        <v>158</v>
      </c>
      <c r="C119" s="122">
        <f>$C$113+($C$114*$C$115)</f>
        <v>561.50366666666662</v>
      </c>
    </row>
    <row r="120" spans="2:6" x14ac:dyDescent="0.25">
      <c r="F120" s="8"/>
    </row>
    <row r="121" spans="2:6" x14ac:dyDescent="0.25">
      <c r="B121" s="6"/>
      <c r="C121" s="6"/>
      <c r="D121" s="6"/>
      <c r="E121" s="6"/>
      <c r="F121" s="6"/>
    </row>
    <row r="122" spans="2:6" ht="15.75" x14ac:dyDescent="0.25">
      <c r="B122" s="98" t="s">
        <v>44</v>
      </c>
      <c r="C122" s="6"/>
      <c r="D122" s="6"/>
      <c r="E122" s="6"/>
      <c r="F122" s="6"/>
    </row>
    <row r="123" spans="2:6" ht="15.75" x14ac:dyDescent="0.25">
      <c r="B123" s="41" t="str">
        <f>Label</f>
        <v>DeKalb County Population, 1900 to 2040</v>
      </c>
      <c r="C123" s="6"/>
      <c r="D123" s="6"/>
      <c r="E123" s="6"/>
      <c r="F123" s="6"/>
    </row>
    <row r="124" spans="2:6" ht="15.75" thickBot="1" x14ac:dyDescent="0.3"/>
    <row r="125" spans="2:6" x14ac:dyDescent="0.25">
      <c r="B125" s="29" t="s">
        <v>66</v>
      </c>
      <c r="C125" s="19" t="s">
        <v>67</v>
      </c>
      <c r="D125" s="19" t="s">
        <v>17</v>
      </c>
      <c r="E125" s="19" t="s">
        <v>68</v>
      </c>
      <c r="F125" s="20" t="s">
        <v>84</v>
      </c>
    </row>
    <row r="126" spans="2:6" x14ac:dyDescent="0.25">
      <c r="B126" s="31" t="s">
        <v>2</v>
      </c>
      <c r="C126" s="4" t="s">
        <v>3</v>
      </c>
      <c r="D126" s="4" t="s">
        <v>4</v>
      </c>
      <c r="E126" s="4" t="s">
        <v>5</v>
      </c>
      <c r="F126" s="32" t="s">
        <v>6</v>
      </c>
    </row>
    <row r="127" spans="2:6" x14ac:dyDescent="0.25">
      <c r="B127" s="33" t="str">
        <f>$E$6</f>
        <v/>
      </c>
      <c r="C127" s="49" t="str">
        <f>$G$6</f>
        <v/>
      </c>
      <c r="D127" s="186" t="str">
        <f t="shared" ref="D127:D151" si="10">IF(B127="","",LOG(C127))</f>
        <v/>
      </c>
      <c r="E127" s="3" t="str">
        <f>$H$6</f>
        <v/>
      </c>
      <c r="F127" s="87" t="str">
        <f t="shared" ref="F127:F151" si="11">IF(B127="","",D127*E127)</f>
        <v/>
      </c>
    </row>
    <row r="128" spans="2:6" x14ac:dyDescent="0.25">
      <c r="B128" s="33" t="str">
        <f>$E$7</f>
        <v/>
      </c>
      <c r="C128" s="49" t="str">
        <f>$G$7</f>
        <v/>
      </c>
      <c r="D128" s="186" t="str">
        <f t="shared" si="10"/>
        <v/>
      </c>
      <c r="E128" s="3" t="str">
        <f>$H$7</f>
        <v/>
      </c>
      <c r="F128" s="87" t="str">
        <f t="shared" si="11"/>
        <v/>
      </c>
    </row>
    <row r="129" spans="2:6" x14ac:dyDescent="0.25">
      <c r="B129" s="33" t="str">
        <f>$E$8</f>
        <v/>
      </c>
      <c r="C129" s="49" t="str">
        <f>$G$8</f>
        <v/>
      </c>
      <c r="D129" s="186" t="str">
        <f t="shared" si="10"/>
        <v/>
      </c>
      <c r="E129" s="3" t="str">
        <f>$H$8</f>
        <v/>
      </c>
      <c r="F129" s="87" t="str">
        <f t="shared" si="11"/>
        <v/>
      </c>
    </row>
    <row r="130" spans="2:6" x14ac:dyDescent="0.25">
      <c r="B130" s="33" t="str">
        <f>$E$9</f>
        <v/>
      </c>
      <c r="C130" s="49" t="str">
        <f>$G$9</f>
        <v/>
      </c>
      <c r="D130" s="186" t="str">
        <f t="shared" si="10"/>
        <v/>
      </c>
      <c r="E130" s="3" t="str">
        <f>$H$9</f>
        <v/>
      </c>
      <c r="F130" s="87" t="str">
        <f t="shared" si="11"/>
        <v/>
      </c>
    </row>
    <row r="131" spans="2:6" x14ac:dyDescent="0.25">
      <c r="B131" s="33" t="str">
        <f>$E$10</f>
        <v/>
      </c>
      <c r="C131" s="49" t="str">
        <f>$G$10</f>
        <v/>
      </c>
      <c r="D131" s="186" t="str">
        <f t="shared" si="10"/>
        <v/>
      </c>
      <c r="E131" s="3" t="str">
        <f>$H$10</f>
        <v/>
      </c>
      <c r="F131" s="87" t="str">
        <f t="shared" si="11"/>
        <v/>
      </c>
    </row>
    <row r="132" spans="2:6" x14ac:dyDescent="0.25">
      <c r="B132" s="33" t="str">
        <f>$E$11</f>
        <v/>
      </c>
      <c r="C132" s="49" t="str">
        <f>$G$11</f>
        <v/>
      </c>
      <c r="D132" s="186" t="str">
        <f t="shared" si="10"/>
        <v/>
      </c>
      <c r="E132" s="3" t="str">
        <f>$H$11</f>
        <v/>
      </c>
      <c r="F132" s="87" t="str">
        <f t="shared" si="11"/>
        <v/>
      </c>
    </row>
    <row r="133" spans="2:6" x14ac:dyDescent="0.25">
      <c r="B133" s="33" t="str">
        <f>$E$12</f>
        <v/>
      </c>
      <c r="C133" s="49" t="str">
        <f>$G$12</f>
        <v/>
      </c>
      <c r="D133" s="186" t="str">
        <f t="shared" si="10"/>
        <v/>
      </c>
      <c r="E133" s="3" t="str">
        <f>$H$12</f>
        <v/>
      </c>
      <c r="F133" s="87" t="str">
        <f t="shared" si="11"/>
        <v/>
      </c>
    </row>
    <row r="134" spans="2:6" x14ac:dyDescent="0.25">
      <c r="B134" s="33" t="str">
        <f>$E$13</f>
        <v/>
      </c>
      <c r="C134" s="49" t="str">
        <f>$G$13</f>
        <v/>
      </c>
      <c r="D134" s="186" t="str">
        <f t="shared" si="10"/>
        <v/>
      </c>
      <c r="E134" s="3" t="str">
        <f>$H$13</f>
        <v/>
      </c>
      <c r="F134" s="87" t="str">
        <f t="shared" si="11"/>
        <v/>
      </c>
    </row>
    <row r="135" spans="2:6" x14ac:dyDescent="0.25">
      <c r="B135" s="33" t="str">
        <f>$E$14</f>
        <v/>
      </c>
      <c r="C135" s="49" t="str">
        <f>$G$14</f>
        <v/>
      </c>
      <c r="D135" s="186" t="str">
        <f t="shared" si="10"/>
        <v/>
      </c>
      <c r="E135" s="3" t="str">
        <f>$H$14</f>
        <v/>
      </c>
      <c r="F135" s="87" t="str">
        <f t="shared" si="11"/>
        <v/>
      </c>
    </row>
    <row r="136" spans="2:6" x14ac:dyDescent="0.25">
      <c r="B136" s="58">
        <f>$E$15</f>
        <v>1990</v>
      </c>
      <c r="C136" s="49">
        <f>$G$15</f>
        <v>545.83699999999999</v>
      </c>
      <c r="D136" s="186">
        <f t="shared" si="10"/>
        <v>2.7370629713324059</v>
      </c>
      <c r="E136" s="3">
        <f>$H$15</f>
        <v>-1</v>
      </c>
      <c r="F136" s="87">
        <f t="shared" si="11"/>
        <v>-2.7370629713324059</v>
      </c>
    </row>
    <row r="137" spans="2:6" x14ac:dyDescent="0.25">
      <c r="B137" s="58">
        <f>$E$16</f>
        <v>2000</v>
      </c>
      <c r="C137" s="49">
        <f>$G$16</f>
        <v>665.86500000000001</v>
      </c>
      <c r="D137" s="186">
        <f t="shared" si="10"/>
        <v>2.8233861875816149</v>
      </c>
      <c r="E137" s="3">
        <f>$H$16</f>
        <v>0</v>
      </c>
      <c r="F137" s="87">
        <f t="shared" si="11"/>
        <v>0</v>
      </c>
    </row>
    <row r="138" spans="2:6" x14ac:dyDescent="0.25">
      <c r="B138" s="58">
        <f>$E$17</f>
        <v>2010</v>
      </c>
      <c r="C138" s="49">
        <f>$G$17</f>
        <v>691.89300000000003</v>
      </c>
      <c r="D138" s="186">
        <f t="shared" si="10"/>
        <v>2.8400389367940537</v>
      </c>
      <c r="E138" s="3">
        <f>$H$17</f>
        <v>1</v>
      </c>
      <c r="F138" s="87">
        <f t="shared" si="11"/>
        <v>2.8400389367940537</v>
      </c>
    </row>
    <row r="139" spans="2:6" x14ac:dyDescent="0.25">
      <c r="B139" s="58" t="str">
        <f>$E$18</f>
        <v/>
      </c>
      <c r="C139" s="49" t="str">
        <f>$G$18</f>
        <v/>
      </c>
      <c r="D139" s="186" t="str">
        <f t="shared" si="10"/>
        <v/>
      </c>
      <c r="E139" s="3" t="str">
        <f>$H$18</f>
        <v/>
      </c>
      <c r="F139" s="87" t="str">
        <f t="shared" si="11"/>
        <v/>
      </c>
    </row>
    <row r="140" spans="2:6" x14ac:dyDescent="0.25">
      <c r="B140" s="58" t="str">
        <f>$E$19</f>
        <v/>
      </c>
      <c r="C140" s="49" t="str">
        <f>$G$19</f>
        <v/>
      </c>
      <c r="D140" s="186" t="str">
        <f t="shared" si="10"/>
        <v/>
      </c>
      <c r="E140" s="3" t="str">
        <f>$H$19</f>
        <v/>
      </c>
      <c r="F140" s="87" t="str">
        <f t="shared" si="11"/>
        <v/>
      </c>
    </row>
    <row r="141" spans="2:6" x14ac:dyDescent="0.25">
      <c r="B141" s="58" t="str">
        <f>$E$20</f>
        <v/>
      </c>
      <c r="C141" s="49" t="str">
        <f>$G$20</f>
        <v/>
      </c>
      <c r="D141" s="186" t="str">
        <f t="shared" si="10"/>
        <v/>
      </c>
      <c r="E141" s="3" t="str">
        <f>$H$20</f>
        <v/>
      </c>
      <c r="F141" s="87" t="str">
        <f t="shared" si="11"/>
        <v/>
      </c>
    </row>
    <row r="142" spans="2:6" x14ac:dyDescent="0.25">
      <c r="B142" s="58" t="str">
        <f>$E$21</f>
        <v/>
      </c>
      <c r="C142" s="49" t="str">
        <f>$G$21</f>
        <v/>
      </c>
      <c r="D142" s="186" t="str">
        <f t="shared" si="10"/>
        <v/>
      </c>
      <c r="E142" s="3" t="str">
        <f>$H$21</f>
        <v/>
      </c>
      <c r="F142" s="87" t="str">
        <f t="shared" si="11"/>
        <v/>
      </c>
    </row>
    <row r="143" spans="2:6" x14ac:dyDescent="0.25">
      <c r="B143" s="58" t="str">
        <f>$E$22</f>
        <v/>
      </c>
      <c r="C143" s="49" t="str">
        <f>$G$22</f>
        <v/>
      </c>
      <c r="D143" s="186" t="str">
        <f t="shared" si="10"/>
        <v/>
      </c>
      <c r="E143" s="3" t="str">
        <f>$H$22</f>
        <v/>
      </c>
      <c r="F143" s="87" t="str">
        <f t="shared" si="11"/>
        <v/>
      </c>
    </row>
    <row r="144" spans="2:6" x14ac:dyDescent="0.25">
      <c r="B144" s="58" t="str">
        <f>$E$23</f>
        <v/>
      </c>
      <c r="C144" s="49" t="str">
        <f>$G$23</f>
        <v/>
      </c>
      <c r="D144" s="186" t="str">
        <f t="shared" si="10"/>
        <v/>
      </c>
      <c r="E144" s="3" t="str">
        <f>$H$23</f>
        <v/>
      </c>
      <c r="F144" s="87" t="str">
        <f t="shared" si="11"/>
        <v/>
      </c>
    </row>
    <row r="145" spans="2:13" x14ac:dyDescent="0.25">
      <c r="B145" s="58" t="str">
        <f>$E$24</f>
        <v/>
      </c>
      <c r="C145" s="49" t="str">
        <f>$G$24</f>
        <v/>
      </c>
      <c r="D145" s="186" t="str">
        <f t="shared" si="10"/>
        <v/>
      </c>
      <c r="E145" s="3" t="str">
        <f>$H$24</f>
        <v/>
      </c>
      <c r="F145" s="87" t="str">
        <f t="shared" si="11"/>
        <v/>
      </c>
    </row>
    <row r="146" spans="2:13" x14ac:dyDescent="0.25">
      <c r="B146" s="58" t="str">
        <f>$E$25</f>
        <v/>
      </c>
      <c r="C146" s="49" t="str">
        <f>$G$25</f>
        <v/>
      </c>
      <c r="D146" s="186" t="str">
        <f t="shared" si="10"/>
        <v/>
      </c>
      <c r="E146" s="3" t="str">
        <f>$H$25</f>
        <v/>
      </c>
      <c r="F146" s="87" t="str">
        <f t="shared" si="11"/>
        <v/>
      </c>
    </row>
    <row r="147" spans="2:13" x14ac:dyDescent="0.25">
      <c r="B147" s="58" t="str">
        <f>$E$26</f>
        <v/>
      </c>
      <c r="C147" s="49" t="str">
        <f>$G$26</f>
        <v/>
      </c>
      <c r="D147" s="186" t="str">
        <f t="shared" si="10"/>
        <v/>
      </c>
      <c r="E147" s="3" t="str">
        <f>$H$26</f>
        <v/>
      </c>
      <c r="F147" s="87" t="str">
        <f t="shared" si="11"/>
        <v/>
      </c>
    </row>
    <row r="148" spans="2:13" x14ac:dyDescent="0.25">
      <c r="B148" s="58" t="str">
        <f>$E$27</f>
        <v/>
      </c>
      <c r="C148" s="49" t="str">
        <f>$G$27</f>
        <v/>
      </c>
      <c r="D148" s="186" t="str">
        <f t="shared" si="10"/>
        <v/>
      </c>
      <c r="E148" s="3" t="str">
        <f>$H$27</f>
        <v/>
      </c>
      <c r="F148" s="87" t="str">
        <f t="shared" si="11"/>
        <v/>
      </c>
      <c r="J148" s="24"/>
      <c r="K148" s="24"/>
    </row>
    <row r="149" spans="2:13" x14ac:dyDescent="0.25">
      <c r="B149" s="58" t="str">
        <f>$E$28</f>
        <v/>
      </c>
      <c r="C149" s="49" t="str">
        <f>$G$28</f>
        <v/>
      </c>
      <c r="D149" s="186" t="str">
        <f t="shared" si="10"/>
        <v/>
      </c>
      <c r="E149" s="3" t="str">
        <f>$H$28</f>
        <v/>
      </c>
      <c r="F149" s="87" t="str">
        <f t="shared" si="11"/>
        <v/>
      </c>
      <c r="J149" s="24"/>
      <c r="K149" s="24"/>
    </row>
    <row r="150" spans="2:13" x14ac:dyDescent="0.25">
      <c r="B150" s="58" t="str">
        <f>$E$29</f>
        <v/>
      </c>
      <c r="C150" s="49" t="str">
        <f>$G$29</f>
        <v/>
      </c>
      <c r="D150" s="186" t="str">
        <f t="shared" si="10"/>
        <v/>
      </c>
      <c r="E150" s="3" t="str">
        <f>$H29</f>
        <v/>
      </c>
      <c r="F150" s="87" t="str">
        <f t="shared" si="11"/>
        <v/>
      </c>
    </row>
    <row r="151" spans="2:13" x14ac:dyDescent="0.25">
      <c r="B151" s="58" t="str">
        <f>$E$30</f>
        <v/>
      </c>
      <c r="C151" s="49" t="str">
        <f>$G$30</f>
        <v/>
      </c>
      <c r="D151" s="186" t="str">
        <f t="shared" si="10"/>
        <v/>
      </c>
      <c r="E151" s="3" t="str">
        <f>$H$30</f>
        <v/>
      </c>
      <c r="F151" s="87" t="str">
        <f t="shared" si="11"/>
        <v/>
      </c>
    </row>
    <row r="152" spans="2:13" ht="15.75" thickBot="1" x14ac:dyDescent="0.3">
      <c r="B152" s="27" t="s">
        <v>7</v>
      </c>
      <c r="C152" s="36"/>
      <c r="D152" s="187">
        <f>SUM(D127:D151)</f>
        <v>8.4004880957080736</v>
      </c>
      <c r="E152" s="36"/>
      <c r="F152" s="188">
        <f>SUM(F127:F151)</f>
        <v>0.10297596546164778</v>
      </c>
    </row>
    <row r="154" spans="2:13" x14ac:dyDescent="0.25">
      <c r="B154" s="7" t="s">
        <v>15</v>
      </c>
      <c r="C154" s="5">
        <f>N</f>
        <v>3</v>
      </c>
    </row>
    <row r="155" spans="2:13" x14ac:dyDescent="0.25">
      <c r="B155" s="7" t="s">
        <v>159</v>
      </c>
      <c r="C155" s="5">
        <f>Sum.X2</f>
        <v>2</v>
      </c>
    </row>
    <row r="156" spans="2:13" ht="15.75" x14ac:dyDescent="0.25">
      <c r="B156" s="5" t="s">
        <v>16</v>
      </c>
      <c r="C156" s="5">
        <f>Sum.X2</f>
        <v>2</v>
      </c>
      <c r="J156" s="34"/>
      <c r="K156" s="6"/>
      <c r="L156" s="35"/>
      <c r="M156" s="24"/>
    </row>
    <row r="158" spans="2:13" x14ac:dyDescent="0.25">
      <c r="B158" s="7" t="s">
        <v>18</v>
      </c>
      <c r="C158" s="5" t="s">
        <v>160</v>
      </c>
      <c r="E158" s="5"/>
    </row>
    <row r="159" spans="2:13" x14ac:dyDescent="0.25">
      <c r="B159" s="181" t="s">
        <v>155</v>
      </c>
      <c r="C159" s="15" t="str">
        <f>TEXT($D$152,"#,###.###0")&amp;" / "&amp;TEXT($C$154,"###")</f>
        <v>8.4005 / 3</v>
      </c>
      <c r="E159" s="5"/>
      <c r="F159" s="8"/>
      <c r="L159" s="6"/>
      <c r="M159" s="6"/>
    </row>
    <row r="160" spans="2:13" x14ac:dyDescent="0.25">
      <c r="B160" s="181" t="s">
        <v>155</v>
      </c>
      <c r="C160" s="184">
        <f>$D$152/$C$154</f>
        <v>2.8001626985693577</v>
      </c>
      <c r="E160" s="5"/>
      <c r="F160" s="8"/>
      <c r="L160" s="6"/>
      <c r="M160" s="6"/>
    </row>
    <row r="162" spans="2:13" x14ac:dyDescent="0.25">
      <c r="B162" s="7" t="s">
        <v>12</v>
      </c>
      <c r="C162" s="5" t="s">
        <v>161</v>
      </c>
      <c r="L162" s="7"/>
      <c r="M162" s="12"/>
    </row>
    <row r="163" spans="2:13" x14ac:dyDescent="0.25">
      <c r="B163" s="181" t="s">
        <v>155</v>
      </c>
      <c r="C163" s="97" t="str">
        <f>"10^"&amp;TEXT($C$160,"#.####")</f>
        <v>10^2.8002</v>
      </c>
      <c r="E163" s="10"/>
      <c r="L163" s="7"/>
      <c r="M163" s="11"/>
    </row>
    <row r="164" spans="2:13" x14ac:dyDescent="0.25">
      <c r="B164" s="181" t="s">
        <v>155</v>
      </c>
      <c r="C164" s="182">
        <f>10^$C$160</f>
        <v>631.19376260843558</v>
      </c>
      <c r="E164" s="10"/>
      <c r="L164" s="7"/>
      <c r="M164" s="11"/>
    </row>
    <row r="166" spans="2:13" x14ac:dyDescent="0.25">
      <c r="B166" s="7" t="s">
        <v>19</v>
      </c>
      <c r="C166" s="5" t="s">
        <v>85</v>
      </c>
      <c r="E166" s="5"/>
      <c r="J166" s="7"/>
      <c r="K166" s="11"/>
      <c r="L166" s="24"/>
      <c r="M166" s="24"/>
    </row>
    <row r="167" spans="2:13" x14ac:dyDescent="0.25">
      <c r="B167" s="181" t="s">
        <v>155</v>
      </c>
      <c r="C167" s="15" t="str">
        <f>TEXT($F$152,"#0.###0")&amp;" / "&amp;TEXT($C$156,"###")</f>
        <v>0.1030 / 2</v>
      </c>
      <c r="E167" s="5"/>
      <c r="F167" s="8"/>
      <c r="J167" s="7"/>
      <c r="K167" s="11"/>
      <c r="L167" s="11"/>
      <c r="M167" s="1"/>
    </row>
    <row r="168" spans="2:13" x14ac:dyDescent="0.25">
      <c r="B168" s="181" t="s">
        <v>155</v>
      </c>
      <c r="C168" s="184">
        <f>$F$152/$C$156</f>
        <v>5.1487982730823889E-2</v>
      </c>
      <c r="E168" s="5"/>
      <c r="F168" s="8"/>
      <c r="J168" s="7"/>
      <c r="K168" s="11"/>
      <c r="L168" s="11"/>
      <c r="M168" s="1"/>
    </row>
    <row r="169" spans="2:13" x14ac:dyDescent="0.25">
      <c r="J169" s="24"/>
      <c r="K169" s="24"/>
      <c r="L169" s="11"/>
      <c r="M169" s="1"/>
    </row>
    <row r="170" spans="2:13" x14ac:dyDescent="0.25">
      <c r="B170" s="7" t="s">
        <v>13</v>
      </c>
      <c r="C170" s="5" t="s">
        <v>20</v>
      </c>
      <c r="J170" s="24"/>
      <c r="K170" s="24"/>
      <c r="L170" s="11"/>
      <c r="M170" s="1"/>
    </row>
    <row r="171" spans="2:13" x14ac:dyDescent="0.25">
      <c r="B171" s="181" t="s">
        <v>155</v>
      </c>
      <c r="C171" s="183" t="str">
        <f>"10^"&amp;TEXT($C$168,"##0.###0")</f>
        <v>10^0.0515</v>
      </c>
      <c r="D171" s="9"/>
      <c r="J171" s="24"/>
      <c r="K171" s="24"/>
      <c r="L171" s="11"/>
      <c r="M171" s="1"/>
    </row>
    <row r="172" spans="2:13" x14ac:dyDescent="0.25">
      <c r="B172" s="181" t="s">
        <v>155</v>
      </c>
      <c r="C172" s="122">
        <f>10^$C$168</f>
        <v>1.125869314776319</v>
      </c>
      <c r="D172" s="9"/>
      <c r="K172" s="24"/>
      <c r="L172" s="11"/>
      <c r="M172" s="1"/>
    </row>
    <row r="173" spans="2:13" x14ac:dyDescent="0.25">
      <c r="K173" s="24"/>
      <c r="L173" s="11"/>
      <c r="M173" s="1"/>
    </row>
    <row r="174" spans="2:13" ht="15.75" x14ac:dyDescent="0.25">
      <c r="B174" s="98" t="s">
        <v>45</v>
      </c>
      <c r="C174" s="6"/>
      <c r="F174" s="6"/>
      <c r="K174" s="24"/>
      <c r="L174" s="11"/>
      <c r="M174" s="1"/>
    </row>
    <row r="175" spans="2:13" ht="15.75" x14ac:dyDescent="0.25">
      <c r="B175" s="41" t="str">
        <f>Label</f>
        <v>DeKalb County Population, 1900 to 2040</v>
      </c>
      <c r="C175" s="6"/>
      <c r="D175" s="6"/>
      <c r="E175" s="6"/>
      <c r="F175" s="6"/>
      <c r="K175" s="24"/>
      <c r="L175" s="11"/>
      <c r="M175" s="1"/>
    </row>
    <row r="176" spans="2:13" ht="15.75" thickBot="1" x14ac:dyDescent="0.3">
      <c r="K176" s="24"/>
    </row>
    <row r="177" spans="2:14" x14ac:dyDescent="0.25">
      <c r="B177" s="29" t="s">
        <v>163</v>
      </c>
      <c r="C177" s="19" t="s">
        <v>40</v>
      </c>
      <c r="D177" s="19" t="s">
        <v>38</v>
      </c>
      <c r="E177" s="19" t="s">
        <v>21</v>
      </c>
      <c r="F177" s="20" t="s">
        <v>14</v>
      </c>
      <c r="G177" s="11"/>
      <c r="L177" s="24"/>
    </row>
    <row r="178" spans="2:14" x14ac:dyDescent="0.25">
      <c r="B178" s="31" t="s">
        <v>2</v>
      </c>
      <c r="C178" s="43" t="s">
        <v>3</v>
      </c>
      <c r="D178" s="43" t="s">
        <v>4</v>
      </c>
      <c r="E178" s="43" t="s">
        <v>5</v>
      </c>
      <c r="F178" s="44" t="s">
        <v>6</v>
      </c>
      <c r="G178" s="11"/>
    </row>
    <row r="179" spans="2:14" x14ac:dyDescent="0.25">
      <c r="B179" s="26" t="str">
        <f t="shared" ref="B179:B203" si="12">IF(C179="","",IF(C179=base.year,1,B178+1))</f>
        <v/>
      </c>
      <c r="C179" s="2" t="str">
        <f>$F$6</f>
        <v/>
      </c>
      <c r="D179" s="2" t="str">
        <f>$I$6</f>
        <v/>
      </c>
      <c r="E179" s="191" t="str">
        <f t="shared" ref="E179:E203" si="13">IF(C179="","",C$206+(C$207*D179))</f>
        <v/>
      </c>
      <c r="F179" s="100" t="str">
        <f t="shared" ref="F179:F203" si="14">IF(C179="","",ROUND(10^E179,3))</f>
        <v/>
      </c>
      <c r="G179" s="11"/>
    </row>
    <row r="180" spans="2:14" x14ac:dyDescent="0.25">
      <c r="B180" s="33" t="str">
        <f t="shared" si="12"/>
        <v/>
      </c>
      <c r="C180" s="3" t="str">
        <f>$F$7</f>
        <v/>
      </c>
      <c r="D180" s="3" t="str">
        <f>$I$7</f>
        <v/>
      </c>
      <c r="E180" s="186" t="str">
        <f t="shared" si="13"/>
        <v/>
      </c>
      <c r="F180" s="48" t="str">
        <f t="shared" si="14"/>
        <v/>
      </c>
      <c r="G180" s="11"/>
    </row>
    <row r="181" spans="2:14" x14ac:dyDescent="0.25">
      <c r="B181" s="33" t="str">
        <f t="shared" si="12"/>
        <v/>
      </c>
      <c r="C181" s="3" t="str">
        <f>$F$8</f>
        <v/>
      </c>
      <c r="D181" s="3" t="str">
        <f>$I$8</f>
        <v/>
      </c>
      <c r="E181" s="186" t="str">
        <f t="shared" si="13"/>
        <v/>
      </c>
      <c r="F181" s="48" t="str">
        <f t="shared" si="14"/>
        <v/>
      </c>
      <c r="G181" s="11"/>
    </row>
    <row r="182" spans="2:14" x14ac:dyDescent="0.25">
      <c r="B182" s="33" t="str">
        <f t="shared" si="12"/>
        <v/>
      </c>
      <c r="C182" s="3" t="str">
        <f>$F$9</f>
        <v/>
      </c>
      <c r="D182" s="3" t="str">
        <f>$I$9</f>
        <v/>
      </c>
      <c r="E182" s="186" t="str">
        <f t="shared" si="13"/>
        <v/>
      </c>
      <c r="F182" s="48" t="str">
        <f t="shared" si="14"/>
        <v/>
      </c>
      <c r="G182" s="11"/>
      <c r="L182" s="24"/>
      <c r="M182" s="11"/>
      <c r="N182" s="1"/>
    </row>
    <row r="183" spans="2:14" x14ac:dyDescent="0.25">
      <c r="B183" s="33" t="str">
        <f t="shared" si="12"/>
        <v/>
      </c>
      <c r="C183" s="3" t="str">
        <f>$F$10</f>
        <v/>
      </c>
      <c r="D183" s="3" t="str">
        <f>$I$10</f>
        <v/>
      </c>
      <c r="E183" s="186" t="str">
        <f t="shared" si="13"/>
        <v/>
      </c>
      <c r="F183" s="48" t="str">
        <f t="shared" si="14"/>
        <v/>
      </c>
      <c r="L183" s="24"/>
      <c r="M183" s="11"/>
      <c r="N183" s="1"/>
    </row>
    <row r="184" spans="2:14" x14ac:dyDescent="0.25">
      <c r="B184" s="33" t="str">
        <f t="shared" si="12"/>
        <v/>
      </c>
      <c r="C184" s="3" t="str">
        <f>$F$11</f>
        <v/>
      </c>
      <c r="D184" s="3" t="str">
        <f>$I$11</f>
        <v/>
      </c>
      <c r="E184" s="186" t="str">
        <f t="shared" si="13"/>
        <v/>
      </c>
      <c r="F184" s="48" t="str">
        <f t="shared" si="14"/>
        <v/>
      </c>
      <c r="L184" s="24"/>
      <c r="M184" s="11"/>
      <c r="N184" s="1"/>
    </row>
    <row r="185" spans="2:14" x14ac:dyDescent="0.25">
      <c r="B185" s="33" t="str">
        <f t="shared" si="12"/>
        <v/>
      </c>
      <c r="C185" s="3" t="str">
        <f>$F$12</f>
        <v/>
      </c>
      <c r="D185" s="3" t="str">
        <f>$I$12</f>
        <v/>
      </c>
      <c r="E185" s="186" t="str">
        <f t="shared" si="13"/>
        <v/>
      </c>
      <c r="F185" s="48" t="str">
        <f t="shared" si="14"/>
        <v/>
      </c>
      <c r="L185" s="24"/>
      <c r="M185" s="11"/>
      <c r="N185" s="1"/>
    </row>
    <row r="186" spans="2:14" x14ac:dyDescent="0.25">
      <c r="B186" s="33" t="str">
        <f t="shared" si="12"/>
        <v/>
      </c>
      <c r="C186" s="3" t="str">
        <f>$F$13</f>
        <v/>
      </c>
      <c r="D186" s="3" t="str">
        <f>$I$13</f>
        <v/>
      </c>
      <c r="E186" s="186" t="str">
        <f t="shared" si="13"/>
        <v/>
      </c>
      <c r="F186" s="48" t="str">
        <f t="shared" si="14"/>
        <v/>
      </c>
      <c r="L186" s="24"/>
    </row>
    <row r="187" spans="2:14" x14ac:dyDescent="0.25">
      <c r="B187" s="33" t="str">
        <f t="shared" si="12"/>
        <v/>
      </c>
      <c r="C187" s="3" t="str">
        <f>$F$14</f>
        <v/>
      </c>
      <c r="D187" s="3" t="str">
        <f>$I$14</f>
        <v/>
      </c>
      <c r="E187" s="186" t="str">
        <f t="shared" si="13"/>
        <v/>
      </c>
      <c r="F187" s="48" t="str">
        <f t="shared" si="14"/>
        <v/>
      </c>
      <c r="G187" s="8"/>
      <c r="L187" s="24"/>
    </row>
    <row r="188" spans="2:14" x14ac:dyDescent="0.25">
      <c r="B188" s="33">
        <f t="shared" si="12"/>
        <v>1</v>
      </c>
      <c r="C188" s="3">
        <f>$F$15</f>
        <v>1990</v>
      </c>
      <c r="D188" s="3">
        <f>$I$15</f>
        <v>-1</v>
      </c>
      <c r="E188" s="186">
        <f t="shared" si="13"/>
        <v>2.7486747158385336</v>
      </c>
      <c r="F188" s="48">
        <f t="shared" si="14"/>
        <v>560.62800000000004</v>
      </c>
      <c r="L188" s="24"/>
    </row>
    <row r="189" spans="2:14" x14ac:dyDescent="0.25">
      <c r="B189" s="33">
        <f t="shared" si="12"/>
        <v>2</v>
      </c>
      <c r="C189" s="3">
        <f>$F$16</f>
        <v>2000</v>
      </c>
      <c r="D189" s="3">
        <f>$I$16</f>
        <v>0</v>
      </c>
      <c r="E189" s="186">
        <f t="shared" si="13"/>
        <v>2.8001626985693577</v>
      </c>
      <c r="F189" s="48">
        <f t="shared" si="14"/>
        <v>631.19399999999996</v>
      </c>
    </row>
    <row r="190" spans="2:14" x14ac:dyDescent="0.25">
      <c r="B190" s="33">
        <f t="shared" si="12"/>
        <v>3</v>
      </c>
      <c r="C190" s="3">
        <f>$F$17</f>
        <v>2010</v>
      </c>
      <c r="D190" s="3">
        <f>$I$17</f>
        <v>1</v>
      </c>
      <c r="E190" s="186">
        <f t="shared" si="13"/>
        <v>2.8516506813001818</v>
      </c>
      <c r="F190" s="48">
        <f t="shared" si="14"/>
        <v>710.64200000000005</v>
      </c>
    </row>
    <row r="191" spans="2:14" x14ac:dyDescent="0.25">
      <c r="B191" s="33">
        <f t="shared" si="12"/>
        <v>4</v>
      </c>
      <c r="C191" s="59">
        <f>$F$18</f>
        <v>2020</v>
      </c>
      <c r="D191" s="3">
        <f>$I$18</f>
        <v>2</v>
      </c>
      <c r="E191" s="186">
        <f t="shared" si="13"/>
        <v>2.9031386640310055</v>
      </c>
      <c r="F191" s="48">
        <f t="shared" si="14"/>
        <v>800.09</v>
      </c>
    </row>
    <row r="192" spans="2:14" x14ac:dyDescent="0.25">
      <c r="B192" s="33">
        <f t="shared" si="12"/>
        <v>5</v>
      </c>
      <c r="C192" s="59">
        <f>$F$19</f>
        <v>2030</v>
      </c>
      <c r="D192" s="3">
        <f>$I$19</f>
        <v>3</v>
      </c>
      <c r="E192" s="186">
        <f t="shared" si="13"/>
        <v>2.9546266467618292</v>
      </c>
      <c r="F192" s="48">
        <f t="shared" si="14"/>
        <v>900.79600000000005</v>
      </c>
      <c r="G192" s="11"/>
    </row>
    <row r="193" spans="2:16" x14ac:dyDescent="0.25">
      <c r="B193" s="33">
        <f t="shared" si="12"/>
        <v>6</v>
      </c>
      <c r="C193" s="59">
        <f>$F$20</f>
        <v>2040</v>
      </c>
      <c r="D193" s="3">
        <f>$I$20</f>
        <v>4</v>
      </c>
      <c r="E193" s="186">
        <f t="shared" si="13"/>
        <v>3.0061146294926533</v>
      </c>
      <c r="F193" s="48">
        <f t="shared" si="14"/>
        <v>1014.179</v>
      </c>
      <c r="G193" s="11"/>
      <c r="I193" s="6"/>
    </row>
    <row r="194" spans="2:16" x14ac:dyDescent="0.25">
      <c r="B194" s="33" t="str">
        <f t="shared" si="12"/>
        <v/>
      </c>
      <c r="C194" s="59" t="str">
        <f>$F$21</f>
        <v/>
      </c>
      <c r="D194" s="3" t="str">
        <f>$I$21</f>
        <v/>
      </c>
      <c r="E194" s="186" t="str">
        <f t="shared" si="13"/>
        <v/>
      </c>
      <c r="F194" s="48" t="str">
        <f t="shared" si="14"/>
        <v/>
      </c>
      <c r="G194" s="11"/>
    </row>
    <row r="195" spans="2:16" x14ac:dyDescent="0.25">
      <c r="B195" s="33" t="str">
        <f t="shared" si="12"/>
        <v/>
      </c>
      <c r="C195" s="59" t="str">
        <f>$F$22</f>
        <v/>
      </c>
      <c r="D195" s="3" t="str">
        <f>$I$22</f>
        <v/>
      </c>
      <c r="E195" s="186" t="str">
        <f t="shared" si="13"/>
        <v/>
      </c>
      <c r="F195" s="48" t="str">
        <f t="shared" si="14"/>
        <v/>
      </c>
      <c r="G195" s="11"/>
      <c r="P195" s="6"/>
    </row>
    <row r="196" spans="2:16" x14ac:dyDescent="0.25">
      <c r="B196" s="33" t="str">
        <f t="shared" si="12"/>
        <v/>
      </c>
      <c r="C196" s="59" t="str">
        <f>$F$23</f>
        <v/>
      </c>
      <c r="D196" s="3" t="str">
        <f>$I$23</f>
        <v/>
      </c>
      <c r="E196" s="186" t="str">
        <f t="shared" si="13"/>
        <v/>
      </c>
      <c r="F196" s="48" t="str">
        <f t="shared" si="14"/>
        <v/>
      </c>
    </row>
    <row r="197" spans="2:16" x14ac:dyDescent="0.25">
      <c r="B197" s="33" t="str">
        <f t="shared" si="12"/>
        <v/>
      </c>
      <c r="C197" s="59" t="str">
        <f>$F$24</f>
        <v/>
      </c>
      <c r="D197" s="3" t="str">
        <f>$I$24</f>
        <v/>
      </c>
      <c r="E197" s="186" t="str">
        <f t="shared" si="13"/>
        <v/>
      </c>
      <c r="F197" s="48" t="str">
        <f t="shared" si="14"/>
        <v/>
      </c>
    </row>
    <row r="198" spans="2:16" x14ac:dyDescent="0.25">
      <c r="B198" s="33" t="str">
        <f t="shared" si="12"/>
        <v/>
      </c>
      <c r="C198" s="59" t="str">
        <f>$F$25</f>
        <v/>
      </c>
      <c r="D198" s="3" t="str">
        <f>$I$25</f>
        <v/>
      </c>
      <c r="E198" s="186" t="str">
        <f t="shared" si="13"/>
        <v/>
      </c>
      <c r="F198" s="48" t="str">
        <f t="shared" si="14"/>
        <v/>
      </c>
    </row>
    <row r="199" spans="2:16" x14ac:dyDescent="0.25">
      <c r="B199" s="33" t="str">
        <f t="shared" si="12"/>
        <v/>
      </c>
      <c r="C199" s="59" t="str">
        <f>$F$26</f>
        <v/>
      </c>
      <c r="D199" s="3" t="str">
        <f>$I$26</f>
        <v/>
      </c>
      <c r="E199" s="186" t="str">
        <f t="shared" si="13"/>
        <v/>
      </c>
      <c r="F199" s="48" t="str">
        <f t="shared" si="14"/>
        <v/>
      </c>
    </row>
    <row r="200" spans="2:16" x14ac:dyDescent="0.25">
      <c r="B200" s="33" t="str">
        <f t="shared" si="12"/>
        <v/>
      </c>
      <c r="C200" s="59" t="str">
        <f>$F$27</f>
        <v/>
      </c>
      <c r="D200" s="3" t="str">
        <f>$I$27</f>
        <v/>
      </c>
      <c r="E200" s="186" t="str">
        <f t="shared" si="13"/>
        <v/>
      </c>
      <c r="F200" s="48" t="str">
        <f t="shared" si="14"/>
        <v/>
      </c>
    </row>
    <row r="201" spans="2:16" x14ac:dyDescent="0.25">
      <c r="B201" s="33" t="str">
        <f t="shared" si="12"/>
        <v/>
      </c>
      <c r="C201" s="59" t="str">
        <f>$F$28</f>
        <v/>
      </c>
      <c r="D201" s="3" t="str">
        <f>$I$28</f>
        <v/>
      </c>
      <c r="E201" s="186" t="str">
        <f t="shared" si="13"/>
        <v/>
      </c>
      <c r="F201" s="48" t="str">
        <f t="shared" si="14"/>
        <v/>
      </c>
    </row>
    <row r="202" spans="2:16" x14ac:dyDescent="0.25">
      <c r="B202" s="33" t="str">
        <f t="shared" si="12"/>
        <v/>
      </c>
      <c r="C202" s="59" t="str">
        <f>$F$29</f>
        <v/>
      </c>
      <c r="D202" s="3" t="str">
        <f>$I$29</f>
        <v/>
      </c>
      <c r="E202" s="186" t="str">
        <f t="shared" si="13"/>
        <v/>
      </c>
      <c r="F202" s="48" t="str">
        <f t="shared" si="14"/>
        <v/>
      </c>
    </row>
    <row r="203" spans="2:16" ht="15.75" thickBot="1" x14ac:dyDescent="0.3">
      <c r="B203" s="30" t="str">
        <f t="shared" si="12"/>
        <v/>
      </c>
      <c r="C203" s="61" t="str">
        <f>$F$30</f>
        <v/>
      </c>
      <c r="D203" s="22" t="str">
        <f>$I$30</f>
        <v/>
      </c>
      <c r="E203" s="192" t="str">
        <f t="shared" si="13"/>
        <v/>
      </c>
      <c r="F203" s="104" t="str">
        <f t="shared" si="14"/>
        <v/>
      </c>
    </row>
    <row r="204" spans="2:16" x14ac:dyDescent="0.25">
      <c r="B204" s="5"/>
      <c r="C204" s="5"/>
      <c r="D204" s="5"/>
    </row>
    <row r="205" spans="2:16" x14ac:dyDescent="0.25">
      <c r="B205" s="7"/>
      <c r="C205" s="5"/>
    </row>
    <row r="206" spans="2:16" x14ac:dyDescent="0.25">
      <c r="B206" s="7" t="s">
        <v>18</v>
      </c>
      <c r="C206" s="122">
        <f>C160</f>
        <v>2.8001626985693577</v>
      </c>
      <c r="E206" s="7"/>
      <c r="F206" s="5"/>
      <c r="K206" s="24"/>
    </row>
    <row r="207" spans="2:16" x14ac:dyDescent="0.25">
      <c r="B207" s="7" t="s">
        <v>19</v>
      </c>
      <c r="C207" s="122">
        <f>C168</f>
        <v>5.1487982730823889E-2</v>
      </c>
      <c r="K207" s="24"/>
    </row>
    <row r="208" spans="2:16" x14ac:dyDescent="0.25">
      <c r="B208" s="7" t="s">
        <v>12</v>
      </c>
      <c r="C208" s="122">
        <f>C164</f>
        <v>631.19376260843558</v>
      </c>
      <c r="F208" s="24"/>
      <c r="K208" s="24"/>
    </row>
    <row r="209" spans="2:7" x14ac:dyDescent="0.25">
      <c r="B209" s="7" t="s">
        <v>13</v>
      </c>
      <c r="C209" s="122">
        <f>C172</f>
        <v>1.125869314776319</v>
      </c>
      <c r="D209" s="9"/>
    </row>
    <row r="210" spans="2:7" x14ac:dyDescent="0.25">
      <c r="B210" s="7" t="s">
        <v>164</v>
      </c>
      <c r="C210" s="5">
        <f>INDEX(C179:F203,index,2)</f>
        <v>-1</v>
      </c>
      <c r="D210" s="9"/>
    </row>
    <row r="211" spans="2:7" x14ac:dyDescent="0.25">
      <c r="B211" s="57"/>
      <c r="D211" s="9"/>
    </row>
    <row r="212" spans="2:7" x14ac:dyDescent="0.25">
      <c r="B212" s="7" t="str">
        <f>"Yc{1} = "</f>
        <v xml:space="preserve">Yc{1} = </v>
      </c>
      <c r="C212" s="11" t="str">
        <f>"ab^X{1}"</f>
        <v>ab^X{1}</v>
      </c>
      <c r="D212" s="9"/>
    </row>
    <row r="213" spans="2:7" x14ac:dyDescent="0.25">
      <c r="B213" s="181" t="s">
        <v>155</v>
      </c>
      <c r="C213" s="122" t="str">
        <f>"("&amp;TEXT($C$208,"#0.##0")&amp;")("&amp;TEXT($C$209,"#0.###")&amp;")^{"&amp;TEXT($C$210,"###")&amp;"}"</f>
        <v>(631.194)(1.126)^{-1}</v>
      </c>
      <c r="D213" s="9"/>
    </row>
    <row r="214" spans="2:7" x14ac:dyDescent="0.25">
      <c r="B214" s="181" t="s">
        <v>155</v>
      </c>
      <c r="C214" s="122">
        <f>$C$208*$C$209^$C$210</f>
        <v>560.62791153859393</v>
      </c>
      <c r="D214" s="9"/>
    </row>
    <row r="215" spans="2:7" x14ac:dyDescent="0.25">
      <c r="D215" s="9"/>
    </row>
    <row r="217" spans="2:7" ht="15.75" x14ac:dyDescent="0.25">
      <c r="B217" s="98" t="s">
        <v>46</v>
      </c>
      <c r="C217" s="6"/>
      <c r="D217" s="6"/>
      <c r="E217" s="6"/>
      <c r="F217" s="6"/>
      <c r="G217" s="6"/>
    </row>
    <row r="218" spans="2:7" ht="15.75" x14ac:dyDescent="0.25">
      <c r="B218" s="41" t="str">
        <f>Label</f>
        <v>DeKalb County Population, 1900 to 2040</v>
      </c>
      <c r="C218" s="6"/>
      <c r="D218" s="6"/>
      <c r="E218" s="6"/>
      <c r="F218" s="6"/>
    </row>
    <row r="219" spans="2:7" ht="15.75" thickBot="1" x14ac:dyDescent="0.3"/>
    <row r="220" spans="2:7" x14ac:dyDescent="0.25">
      <c r="B220" s="29" t="s">
        <v>66</v>
      </c>
      <c r="C220" s="19" t="s">
        <v>67</v>
      </c>
      <c r="D220" s="19" t="s">
        <v>68</v>
      </c>
      <c r="E220" s="19" t="s">
        <v>22</v>
      </c>
      <c r="F220" s="19" t="s">
        <v>1</v>
      </c>
      <c r="G220" s="20" t="s">
        <v>23</v>
      </c>
    </row>
    <row r="221" spans="2:7" x14ac:dyDescent="0.25">
      <c r="B221" s="31" t="s">
        <v>2</v>
      </c>
      <c r="C221" s="190" t="s">
        <v>3</v>
      </c>
      <c r="D221" s="4" t="s">
        <v>4</v>
      </c>
      <c r="E221" s="4" t="s">
        <v>6</v>
      </c>
      <c r="F221" s="4" t="s">
        <v>24</v>
      </c>
      <c r="G221" s="32" t="s">
        <v>25</v>
      </c>
    </row>
    <row r="222" spans="2:7" x14ac:dyDescent="0.25">
      <c r="B222" s="33" t="str">
        <f>$E$6</f>
        <v/>
      </c>
      <c r="C222" s="49" t="str">
        <f>$G$6</f>
        <v/>
      </c>
      <c r="D222" s="3" t="str">
        <f>$H$6</f>
        <v/>
      </c>
      <c r="E222" s="3" t="str">
        <f t="shared" ref="E222:E246" si="15">IF(B222="","",D222^4)</f>
        <v/>
      </c>
      <c r="F222" s="49" t="str">
        <f t="shared" ref="F222:F246" si="16">IF(B222="","",C222*D222)</f>
        <v/>
      </c>
      <c r="G222" s="48" t="str">
        <f t="shared" ref="G222:G246" si="17">IF(B222="","",D222^2*C222)</f>
        <v/>
      </c>
    </row>
    <row r="223" spans="2:7" x14ac:dyDescent="0.25">
      <c r="B223" s="33" t="str">
        <f>$E$7</f>
        <v/>
      </c>
      <c r="C223" s="49" t="str">
        <f>$G$7</f>
        <v/>
      </c>
      <c r="D223" s="3" t="str">
        <f>$H$7</f>
        <v/>
      </c>
      <c r="E223" s="3" t="str">
        <f t="shared" si="15"/>
        <v/>
      </c>
      <c r="F223" s="49" t="str">
        <f t="shared" si="16"/>
        <v/>
      </c>
      <c r="G223" s="48" t="str">
        <f t="shared" si="17"/>
        <v/>
      </c>
    </row>
    <row r="224" spans="2:7" x14ac:dyDescent="0.25">
      <c r="B224" s="33" t="str">
        <f>$E$8</f>
        <v/>
      </c>
      <c r="C224" s="49" t="str">
        <f>$G$8</f>
        <v/>
      </c>
      <c r="D224" s="3" t="str">
        <f>$H$8</f>
        <v/>
      </c>
      <c r="E224" s="3" t="str">
        <f t="shared" si="15"/>
        <v/>
      </c>
      <c r="F224" s="49" t="str">
        <f t="shared" si="16"/>
        <v/>
      </c>
      <c r="G224" s="48" t="str">
        <f t="shared" si="17"/>
        <v/>
      </c>
    </row>
    <row r="225" spans="2:7" x14ac:dyDescent="0.25">
      <c r="B225" s="33" t="str">
        <f>$E$9</f>
        <v/>
      </c>
      <c r="C225" s="49" t="str">
        <f>$G$9</f>
        <v/>
      </c>
      <c r="D225" s="3" t="str">
        <f>$H$9</f>
        <v/>
      </c>
      <c r="E225" s="3" t="str">
        <f t="shared" si="15"/>
        <v/>
      </c>
      <c r="F225" s="49" t="str">
        <f t="shared" si="16"/>
        <v/>
      </c>
      <c r="G225" s="48" t="str">
        <f t="shared" si="17"/>
        <v/>
      </c>
    </row>
    <row r="226" spans="2:7" x14ac:dyDescent="0.25">
      <c r="B226" s="33" t="str">
        <f>$E$10</f>
        <v/>
      </c>
      <c r="C226" s="49" t="str">
        <f>$G$10</f>
        <v/>
      </c>
      <c r="D226" s="3" t="str">
        <f>$H$10</f>
        <v/>
      </c>
      <c r="E226" s="3" t="str">
        <f t="shared" si="15"/>
        <v/>
      </c>
      <c r="F226" s="49" t="str">
        <f t="shared" si="16"/>
        <v/>
      </c>
      <c r="G226" s="48" t="str">
        <f t="shared" si="17"/>
        <v/>
      </c>
    </row>
    <row r="227" spans="2:7" x14ac:dyDescent="0.25">
      <c r="B227" s="33" t="str">
        <f>$E$11</f>
        <v/>
      </c>
      <c r="C227" s="49" t="str">
        <f>$G$11</f>
        <v/>
      </c>
      <c r="D227" s="3" t="str">
        <f>$H$11</f>
        <v/>
      </c>
      <c r="E227" s="3" t="str">
        <f t="shared" si="15"/>
        <v/>
      </c>
      <c r="F227" s="49" t="str">
        <f t="shared" si="16"/>
        <v/>
      </c>
      <c r="G227" s="48" t="str">
        <f t="shared" si="17"/>
        <v/>
      </c>
    </row>
    <row r="228" spans="2:7" x14ac:dyDescent="0.25">
      <c r="B228" s="33" t="str">
        <f>$E$12</f>
        <v/>
      </c>
      <c r="C228" s="49" t="str">
        <f>$G$12</f>
        <v/>
      </c>
      <c r="D228" s="3" t="str">
        <f>$H$12</f>
        <v/>
      </c>
      <c r="E228" s="3" t="str">
        <f t="shared" si="15"/>
        <v/>
      </c>
      <c r="F228" s="49" t="str">
        <f t="shared" si="16"/>
        <v/>
      </c>
      <c r="G228" s="48" t="str">
        <f t="shared" si="17"/>
        <v/>
      </c>
    </row>
    <row r="229" spans="2:7" x14ac:dyDescent="0.25">
      <c r="B229" s="33" t="str">
        <f>$E$13</f>
        <v/>
      </c>
      <c r="C229" s="49" t="str">
        <f>$G$13</f>
        <v/>
      </c>
      <c r="D229" s="3" t="str">
        <f>$H$13</f>
        <v/>
      </c>
      <c r="E229" s="3" t="str">
        <f t="shared" si="15"/>
        <v/>
      </c>
      <c r="F229" s="49" t="str">
        <f t="shared" si="16"/>
        <v/>
      </c>
      <c r="G229" s="48" t="str">
        <f t="shared" si="17"/>
        <v/>
      </c>
    </row>
    <row r="230" spans="2:7" x14ac:dyDescent="0.25">
      <c r="B230" s="33" t="str">
        <f>$E$14</f>
        <v/>
      </c>
      <c r="C230" s="49" t="str">
        <f>$G$14</f>
        <v/>
      </c>
      <c r="D230" s="3" t="str">
        <f>$H$14</f>
        <v/>
      </c>
      <c r="E230" s="3" t="str">
        <f t="shared" si="15"/>
        <v/>
      </c>
      <c r="F230" s="49" t="str">
        <f t="shared" si="16"/>
        <v/>
      </c>
      <c r="G230" s="48" t="str">
        <f t="shared" si="17"/>
        <v/>
      </c>
    </row>
    <row r="231" spans="2:7" x14ac:dyDescent="0.25">
      <c r="B231" s="58">
        <f>$E$15</f>
        <v>1990</v>
      </c>
      <c r="C231" s="49">
        <f>$G$15</f>
        <v>545.83699999999999</v>
      </c>
      <c r="D231" s="3">
        <f>$H$15</f>
        <v>-1</v>
      </c>
      <c r="E231" s="3">
        <f t="shared" si="15"/>
        <v>1</v>
      </c>
      <c r="F231" s="49">
        <f t="shared" si="16"/>
        <v>-545.83699999999999</v>
      </c>
      <c r="G231" s="48">
        <f t="shared" si="17"/>
        <v>545.83699999999999</v>
      </c>
    </row>
    <row r="232" spans="2:7" x14ac:dyDescent="0.25">
      <c r="B232" s="58">
        <f>$E$16</f>
        <v>2000</v>
      </c>
      <c r="C232" s="49">
        <f>$G$16</f>
        <v>665.86500000000001</v>
      </c>
      <c r="D232" s="3">
        <f>$H$16</f>
        <v>0</v>
      </c>
      <c r="E232" s="3">
        <f t="shared" si="15"/>
        <v>0</v>
      </c>
      <c r="F232" s="49">
        <f t="shared" si="16"/>
        <v>0</v>
      </c>
      <c r="G232" s="48">
        <f t="shared" si="17"/>
        <v>0</v>
      </c>
    </row>
    <row r="233" spans="2:7" x14ac:dyDescent="0.25">
      <c r="B233" s="58">
        <f>$E$17</f>
        <v>2010</v>
      </c>
      <c r="C233" s="49">
        <f>$G$17</f>
        <v>691.89300000000003</v>
      </c>
      <c r="D233" s="3">
        <f>$H$17</f>
        <v>1</v>
      </c>
      <c r="E233" s="3">
        <f t="shared" si="15"/>
        <v>1</v>
      </c>
      <c r="F233" s="49">
        <f t="shared" si="16"/>
        <v>691.89300000000003</v>
      </c>
      <c r="G233" s="48">
        <f t="shared" si="17"/>
        <v>691.89300000000003</v>
      </c>
    </row>
    <row r="234" spans="2:7" x14ac:dyDescent="0.25">
      <c r="B234" s="58" t="str">
        <f>$E$18</f>
        <v/>
      </c>
      <c r="C234" s="49" t="str">
        <f>$G$18</f>
        <v/>
      </c>
      <c r="D234" s="3" t="str">
        <f>$H$18</f>
        <v/>
      </c>
      <c r="E234" s="3" t="str">
        <f t="shared" si="15"/>
        <v/>
      </c>
      <c r="F234" s="49" t="str">
        <f t="shared" si="16"/>
        <v/>
      </c>
      <c r="G234" s="48" t="str">
        <f t="shared" si="17"/>
        <v/>
      </c>
    </row>
    <row r="235" spans="2:7" x14ac:dyDescent="0.25">
      <c r="B235" s="58" t="str">
        <f>$E$19</f>
        <v/>
      </c>
      <c r="C235" s="49" t="str">
        <f>$G$19</f>
        <v/>
      </c>
      <c r="D235" s="3" t="str">
        <f>$H$19</f>
        <v/>
      </c>
      <c r="E235" s="3" t="str">
        <f t="shared" si="15"/>
        <v/>
      </c>
      <c r="F235" s="49" t="str">
        <f t="shared" si="16"/>
        <v/>
      </c>
      <c r="G235" s="48" t="str">
        <f t="shared" si="17"/>
        <v/>
      </c>
    </row>
    <row r="236" spans="2:7" x14ac:dyDescent="0.25">
      <c r="B236" s="58" t="str">
        <f>$E$20</f>
        <v/>
      </c>
      <c r="C236" s="49" t="str">
        <f>$G$20</f>
        <v/>
      </c>
      <c r="D236" s="3" t="str">
        <f>$H$20</f>
        <v/>
      </c>
      <c r="E236" s="3" t="str">
        <f t="shared" si="15"/>
        <v/>
      </c>
      <c r="F236" s="49" t="str">
        <f t="shared" si="16"/>
        <v/>
      </c>
      <c r="G236" s="48" t="str">
        <f t="shared" si="17"/>
        <v/>
      </c>
    </row>
    <row r="237" spans="2:7" x14ac:dyDescent="0.25">
      <c r="B237" s="58" t="str">
        <f>$E$21</f>
        <v/>
      </c>
      <c r="C237" s="49" t="str">
        <f>$G$21</f>
        <v/>
      </c>
      <c r="D237" s="3" t="str">
        <f>$H$21</f>
        <v/>
      </c>
      <c r="E237" s="3" t="str">
        <f t="shared" si="15"/>
        <v/>
      </c>
      <c r="F237" s="49" t="str">
        <f t="shared" si="16"/>
        <v/>
      </c>
      <c r="G237" s="48" t="str">
        <f t="shared" si="17"/>
        <v/>
      </c>
    </row>
    <row r="238" spans="2:7" x14ac:dyDescent="0.25">
      <c r="B238" s="58" t="str">
        <f>$E$22</f>
        <v/>
      </c>
      <c r="C238" s="49" t="str">
        <f>$G$22</f>
        <v/>
      </c>
      <c r="D238" s="3" t="str">
        <f>$H$22</f>
        <v/>
      </c>
      <c r="E238" s="3" t="str">
        <f t="shared" si="15"/>
        <v/>
      </c>
      <c r="F238" s="49" t="str">
        <f t="shared" si="16"/>
        <v/>
      </c>
      <c r="G238" s="48" t="str">
        <f t="shared" si="17"/>
        <v/>
      </c>
    </row>
    <row r="239" spans="2:7" x14ac:dyDescent="0.25">
      <c r="B239" s="58" t="str">
        <f>$E$23</f>
        <v/>
      </c>
      <c r="C239" s="49" t="str">
        <f>$G$23</f>
        <v/>
      </c>
      <c r="D239" s="3" t="str">
        <f>$H$23</f>
        <v/>
      </c>
      <c r="E239" s="3" t="str">
        <f t="shared" si="15"/>
        <v/>
      </c>
      <c r="F239" s="49" t="str">
        <f t="shared" si="16"/>
        <v/>
      </c>
      <c r="G239" s="48" t="str">
        <f t="shared" si="17"/>
        <v/>
      </c>
    </row>
    <row r="240" spans="2:7" x14ac:dyDescent="0.25">
      <c r="B240" s="58" t="str">
        <f>$E$24</f>
        <v/>
      </c>
      <c r="C240" s="49" t="str">
        <f>$G$24</f>
        <v/>
      </c>
      <c r="D240" s="3" t="str">
        <f>$H$24</f>
        <v/>
      </c>
      <c r="E240" s="3" t="str">
        <f t="shared" si="15"/>
        <v/>
      </c>
      <c r="F240" s="49" t="str">
        <f t="shared" si="16"/>
        <v/>
      </c>
      <c r="G240" s="48" t="str">
        <f t="shared" si="17"/>
        <v/>
      </c>
    </row>
    <row r="241" spans="2:13" x14ac:dyDescent="0.25">
      <c r="B241" s="58" t="str">
        <f>$E$25</f>
        <v/>
      </c>
      <c r="C241" s="49" t="str">
        <f>$G$25</f>
        <v/>
      </c>
      <c r="D241" s="3" t="str">
        <f>$H$25</f>
        <v/>
      </c>
      <c r="E241" s="3" t="str">
        <f t="shared" si="15"/>
        <v/>
      </c>
      <c r="F241" s="49" t="str">
        <f t="shared" si="16"/>
        <v/>
      </c>
      <c r="G241" s="48" t="str">
        <f t="shared" si="17"/>
        <v/>
      </c>
    </row>
    <row r="242" spans="2:13" x14ac:dyDescent="0.25">
      <c r="B242" s="58" t="str">
        <f>$E$26</f>
        <v/>
      </c>
      <c r="C242" s="49" t="str">
        <f>$G$26</f>
        <v/>
      </c>
      <c r="D242" s="3" t="str">
        <f>$H$26</f>
        <v/>
      </c>
      <c r="E242" s="3" t="str">
        <f t="shared" si="15"/>
        <v/>
      </c>
      <c r="F242" s="49" t="str">
        <f t="shared" si="16"/>
        <v/>
      </c>
      <c r="G242" s="48" t="str">
        <f t="shared" si="17"/>
        <v/>
      </c>
    </row>
    <row r="243" spans="2:13" x14ac:dyDescent="0.25">
      <c r="B243" s="58" t="str">
        <f>$E$27</f>
        <v/>
      </c>
      <c r="C243" s="49" t="str">
        <f>$G$27</f>
        <v/>
      </c>
      <c r="D243" s="3" t="str">
        <f>$H$27</f>
        <v/>
      </c>
      <c r="E243" s="3" t="str">
        <f t="shared" si="15"/>
        <v/>
      </c>
      <c r="F243" s="49" t="str">
        <f t="shared" si="16"/>
        <v/>
      </c>
      <c r="G243" s="48" t="str">
        <f t="shared" si="17"/>
        <v/>
      </c>
    </row>
    <row r="244" spans="2:13" x14ac:dyDescent="0.25">
      <c r="B244" s="58" t="str">
        <f>$E$28</f>
        <v/>
      </c>
      <c r="C244" s="49" t="str">
        <f>$G$28</f>
        <v/>
      </c>
      <c r="D244" s="3" t="str">
        <f>$H$28</f>
        <v/>
      </c>
      <c r="E244" s="3" t="str">
        <f t="shared" si="15"/>
        <v/>
      </c>
      <c r="F244" s="49" t="str">
        <f t="shared" si="16"/>
        <v/>
      </c>
      <c r="G244" s="48" t="str">
        <f t="shared" si="17"/>
        <v/>
      </c>
    </row>
    <row r="245" spans="2:13" x14ac:dyDescent="0.25">
      <c r="B245" s="58" t="str">
        <f>$E$29</f>
        <v/>
      </c>
      <c r="C245" s="49" t="str">
        <f>$G$29</f>
        <v/>
      </c>
      <c r="D245" s="3" t="str">
        <f>$H$29</f>
        <v/>
      </c>
      <c r="E245" s="3" t="str">
        <f t="shared" si="15"/>
        <v/>
      </c>
      <c r="F245" s="49" t="str">
        <f t="shared" si="16"/>
        <v/>
      </c>
      <c r="G245" s="48" t="str">
        <f t="shared" si="17"/>
        <v/>
      </c>
    </row>
    <row r="246" spans="2:13" x14ac:dyDescent="0.25">
      <c r="B246" s="58" t="str">
        <f>$E$30</f>
        <v/>
      </c>
      <c r="C246" s="49" t="str">
        <f>$G$30</f>
        <v/>
      </c>
      <c r="D246" s="3" t="str">
        <f>$H$30</f>
        <v/>
      </c>
      <c r="E246" s="3" t="str">
        <f t="shared" si="15"/>
        <v/>
      </c>
      <c r="F246" s="49" t="str">
        <f t="shared" si="16"/>
        <v/>
      </c>
      <c r="G246" s="48" t="str">
        <f t="shared" si="17"/>
        <v/>
      </c>
    </row>
    <row r="247" spans="2:13" ht="15.75" thickBot="1" x14ac:dyDescent="0.3">
      <c r="B247" s="27" t="s">
        <v>7</v>
      </c>
      <c r="C247" s="102">
        <f>SUM(C222:C246)</f>
        <v>1903.595</v>
      </c>
      <c r="D247" s="105">
        <f>SUM(D222:D246)</f>
        <v>0</v>
      </c>
      <c r="E247" s="105">
        <f>SUM(E222:E246)</f>
        <v>2</v>
      </c>
      <c r="F247" s="102">
        <f t="shared" ref="F247:G247" si="18">SUM(F222:F246)</f>
        <v>146.05600000000004</v>
      </c>
      <c r="G247" s="103">
        <f t="shared" si="18"/>
        <v>1237.73</v>
      </c>
    </row>
    <row r="249" spans="2:13" x14ac:dyDescent="0.25">
      <c r="B249" s="7" t="s">
        <v>15</v>
      </c>
      <c r="C249" s="5">
        <f>N</f>
        <v>3</v>
      </c>
    </row>
    <row r="250" spans="2:13" x14ac:dyDescent="0.25">
      <c r="L250" s="6"/>
      <c r="M250" s="6"/>
    </row>
    <row r="251" spans="2:13" x14ac:dyDescent="0.25">
      <c r="B251" s="5" t="s">
        <v>16</v>
      </c>
      <c r="C251" s="5">
        <f>Sum.X2</f>
        <v>2</v>
      </c>
      <c r="D251" s="5"/>
      <c r="E251" s="5"/>
    </row>
    <row r="252" spans="2:13" x14ac:dyDescent="0.25">
      <c r="L252" s="12"/>
    </row>
    <row r="253" spans="2:13" x14ac:dyDescent="0.25">
      <c r="B253" s="5" t="s">
        <v>26</v>
      </c>
      <c r="C253" s="18">
        <f>E247</f>
        <v>2</v>
      </c>
      <c r="L253" s="10"/>
    </row>
    <row r="254" spans="2:13" x14ac:dyDescent="0.25">
      <c r="H254" s="6"/>
      <c r="L254" s="10"/>
    </row>
    <row r="255" spans="2:13" ht="15.75" x14ac:dyDescent="0.25">
      <c r="B255" s="7" t="s">
        <v>27</v>
      </c>
      <c r="C255" s="5" t="s">
        <v>28</v>
      </c>
      <c r="K255" s="34"/>
    </row>
    <row r="256" spans="2:13" x14ac:dyDescent="0.25">
      <c r="B256" s="181" t="s">
        <v>155</v>
      </c>
      <c r="C256" s="17" t="str">
        <f>"[ ("&amp;TEXT($C$249,"#,###")&amp;")("&amp;TEXT($G$247,"#,###.#000")&amp;") - ("&amp;TEXT($C$251,"#,###")&amp;")("&amp;TEXT($C$247,"#,###.#000")&amp;" ] / [ ("&amp;TEXT($C$249,"#,###")&amp;")("&amp;TEXT($C$253,"#,###")&amp;") - "&amp;TEXT(C251,"#,###")&amp;"^2]"</f>
        <v>[ (3)(1,237.7300) - (2)(1,903.5950 ] / [ (3)(2) - 2^2]</v>
      </c>
      <c r="H256" s="24"/>
      <c r="L256" s="24"/>
      <c r="M256" s="24"/>
    </row>
    <row r="257" spans="2:13" x14ac:dyDescent="0.25">
      <c r="B257" s="181" t="s">
        <v>155</v>
      </c>
      <c r="C257" s="184">
        <f>($C$249*$G$247-($C$251*$C$247))/(($C$249*$C$253)-C251^2)</f>
        <v>-47</v>
      </c>
      <c r="H257" s="24"/>
      <c r="L257" s="24"/>
      <c r="M257" s="24"/>
    </row>
    <row r="258" spans="2:13" x14ac:dyDescent="0.25">
      <c r="K258" s="7"/>
      <c r="L258" s="24"/>
      <c r="M258" s="24"/>
    </row>
    <row r="259" spans="2:13" x14ac:dyDescent="0.25">
      <c r="B259" s="7" t="s">
        <v>12</v>
      </c>
      <c r="C259" s="5" t="s">
        <v>29</v>
      </c>
      <c r="H259" s="24"/>
      <c r="K259" s="7"/>
      <c r="L259" s="24"/>
      <c r="M259" s="24"/>
    </row>
    <row r="260" spans="2:13" x14ac:dyDescent="0.25">
      <c r="B260" s="181" t="s">
        <v>155</v>
      </c>
      <c r="C260" s="16" t="str">
        <f>"["&amp;TEXT($C$247,"#,###.##0")&amp;" - ("&amp;TEXT($C$257,"#,###.#000")&amp;")("&amp;TEXT($C$251,"#,###")&amp;")] / "&amp;TEXT($C$249,"#,###")</f>
        <v>[1,903.595 - (-47.000)(2)] / 3</v>
      </c>
      <c r="H260" s="1"/>
      <c r="K260" s="7"/>
      <c r="L260" s="24"/>
      <c r="M260" s="1"/>
    </row>
    <row r="261" spans="2:13" x14ac:dyDescent="0.25">
      <c r="B261" s="181" t="s">
        <v>155</v>
      </c>
      <c r="C261" s="182">
        <f>($C$247-$C$257*$C$251)/$C$249</f>
        <v>665.86500000000001</v>
      </c>
      <c r="H261" s="1"/>
      <c r="K261" s="7"/>
      <c r="L261" s="24"/>
      <c r="M261" s="1"/>
    </row>
    <row r="262" spans="2:13" x14ac:dyDescent="0.25">
      <c r="H262" s="1"/>
      <c r="L262" s="24"/>
      <c r="M262" s="1"/>
    </row>
    <row r="263" spans="2:13" x14ac:dyDescent="0.25">
      <c r="B263" s="7" t="s">
        <v>13</v>
      </c>
      <c r="C263" s="5" t="s">
        <v>30</v>
      </c>
      <c r="H263" s="1"/>
      <c r="K263" s="24"/>
      <c r="L263" s="24"/>
      <c r="M263" s="1"/>
    </row>
    <row r="264" spans="2:13" x14ac:dyDescent="0.25">
      <c r="B264" s="181" t="s">
        <v>155</v>
      </c>
      <c r="C264" s="17" t="str">
        <f>TEXT($F$247,"#,###.###")&amp;" / "&amp;TEXT($C$251,"#,###")</f>
        <v>146.056 / 2</v>
      </c>
      <c r="H264" s="1"/>
      <c r="K264" s="24"/>
      <c r="L264" s="24"/>
      <c r="M264" s="1"/>
    </row>
    <row r="265" spans="2:13" x14ac:dyDescent="0.25">
      <c r="B265" s="181" t="s">
        <v>155</v>
      </c>
      <c r="C265" s="184">
        <f>$F$247/$C$251</f>
        <v>73.02800000000002</v>
      </c>
      <c r="H265" s="1"/>
      <c r="K265" s="24"/>
      <c r="L265" s="24"/>
      <c r="M265" s="1"/>
    </row>
    <row r="266" spans="2:13" x14ac:dyDescent="0.25">
      <c r="B266" s="181"/>
      <c r="H266" s="1"/>
      <c r="K266" s="24"/>
      <c r="L266" s="24"/>
      <c r="M266" s="1"/>
    </row>
    <row r="267" spans="2:13" x14ac:dyDescent="0.25">
      <c r="H267" s="1"/>
      <c r="K267" s="24"/>
      <c r="L267" s="24"/>
      <c r="M267" s="1"/>
    </row>
    <row r="268" spans="2:13" ht="15.75" x14ac:dyDescent="0.25">
      <c r="B268" s="98" t="s">
        <v>156</v>
      </c>
      <c r="F268" s="6"/>
      <c r="G268" s="6"/>
      <c r="H268" s="1"/>
      <c r="K268" s="24"/>
      <c r="L268" s="24"/>
      <c r="M268" s="1"/>
    </row>
    <row r="269" spans="2:13" ht="15.75" x14ac:dyDescent="0.25">
      <c r="B269" s="41" t="str">
        <f>Label</f>
        <v>DeKalb County Population, 1900 to 2040</v>
      </c>
      <c r="C269" s="6"/>
      <c r="D269" s="6"/>
      <c r="E269" s="6"/>
      <c r="K269" s="24"/>
      <c r="L269" s="24"/>
      <c r="M269" s="1"/>
    </row>
    <row r="270" spans="2:13" ht="15.75" thickBot="1" x14ac:dyDescent="0.3">
      <c r="F270" s="24"/>
      <c r="G270" s="24"/>
      <c r="K270" s="24"/>
    </row>
    <row r="271" spans="2:13" x14ac:dyDescent="0.25">
      <c r="B271" s="29" t="s">
        <v>163</v>
      </c>
      <c r="C271" s="189" t="s">
        <v>40</v>
      </c>
      <c r="D271" s="19" t="s">
        <v>38</v>
      </c>
      <c r="E271" s="20" t="s">
        <v>14</v>
      </c>
      <c r="G271" s="24"/>
      <c r="H271" s="1"/>
    </row>
    <row r="272" spans="2:13" x14ac:dyDescent="0.25">
      <c r="B272" s="31" t="s">
        <v>2</v>
      </c>
      <c r="C272" s="123" t="s">
        <v>3</v>
      </c>
      <c r="D272" s="43" t="s">
        <v>4</v>
      </c>
      <c r="E272" s="44" t="s">
        <v>5</v>
      </c>
      <c r="G272" s="24"/>
      <c r="H272" s="1"/>
    </row>
    <row r="273" spans="2:14" x14ac:dyDescent="0.25">
      <c r="B273" s="26" t="str">
        <f t="shared" ref="B273:B297" si="19">IF(C273="","",IF(C273=base.year,1,B272+1))</f>
        <v/>
      </c>
      <c r="C273" s="135" t="str">
        <f>$F$6</f>
        <v/>
      </c>
      <c r="D273" s="2" t="str">
        <f>$I$6</f>
        <v/>
      </c>
      <c r="E273" s="48" t="str">
        <f t="shared" ref="E273:E278" si="20">IF(C273="","",ROUND($C$299+($C$300*D273)+$C$301*D273^2,3))</f>
        <v/>
      </c>
      <c r="G273" s="24"/>
      <c r="H273" s="1"/>
    </row>
    <row r="274" spans="2:14" x14ac:dyDescent="0.25">
      <c r="B274" s="33" t="str">
        <f t="shared" si="19"/>
        <v/>
      </c>
      <c r="C274" s="164" t="str">
        <f>$F$7</f>
        <v/>
      </c>
      <c r="D274" s="3" t="str">
        <f>$I$7</f>
        <v/>
      </c>
      <c r="E274" s="48" t="str">
        <f t="shared" si="20"/>
        <v/>
      </c>
      <c r="G274" s="24"/>
      <c r="H274" s="1"/>
    </row>
    <row r="275" spans="2:14" x14ac:dyDescent="0.25">
      <c r="B275" s="33" t="str">
        <f t="shared" si="19"/>
        <v/>
      </c>
      <c r="C275" s="164" t="str">
        <f>$F$8</f>
        <v/>
      </c>
      <c r="D275" s="3" t="str">
        <f>$I$8</f>
        <v/>
      </c>
      <c r="E275" s="48" t="str">
        <f t="shared" si="20"/>
        <v/>
      </c>
      <c r="G275" s="24"/>
      <c r="H275" s="1"/>
      <c r="I275" s="1"/>
      <c r="L275" s="24"/>
      <c r="M275" s="24"/>
      <c r="N275" s="1"/>
    </row>
    <row r="276" spans="2:14" x14ac:dyDescent="0.25">
      <c r="B276" s="33" t="str">
        <f t="shared" si="19"/>
        <v/>
      </c>
      <c r="C276" s="164" t="str">
        <f>$F$9</f>
        <v/>
      </c>
      <c r="D276" s="3" t="str">
        <f>$I$9</f>
        <v/>
      </c>
      <c r="E276" s="48" t="str">
        <f t="shared" si="20"/>
        <v/>
      </c>
      <c r="I276" s="1"/>
      <c r="L276" s="24"/>
      <c r="M276" s="24"/>
      <c r="N276" s="1"/>
    </row>
    <row r="277" spans="2:14" x14ac:dyDescent="0.25">
      <c r="B277" s="33" t="str">
        <f t="shared" si="19"/>
        <v/>
      </c>
      <c r="C277" s="164" t="str">
        <f>$F$10</f>
        <v/>
      </c>
      <c r="D277" s="3" t="str">
        <f>$I$10</f>
        <v/>
      </c>
      <c r="E277" s="48" t="str">
        <f t="shared" si="20"/>
        <v/>
      </c>
      <c r="L277" s="24"/>
      <c r="M277" s="24"/>
      <c r="N277" s="1"/>
    </row>
    <row r="278" spans="2:14" x14ac:dyDescent="0.25">
      <c r="B278" s="33" t="str">
        <f t="shared" si="19"/>
        <v/>
      </c>
      <c r="C278" s="164" t="str">
        <f>$F$11</f>
        <v/>
      </c>
      <c r="D278" s="3" t="str">
        <f>$I$11</f>
        <v/>
      </c>
      <c r="E278" s="48" t="str">
        <f t="shared" si="20"/>
        <v/>
      </c>
      <c r="L278" s="24"/>
    </row>
    <row r="279" spans="2:14" x14ac:dyDescent="0.25">
      <c r="B279" s="33" t="str">
        <f t="shared" si="19"/>
        <v/>
      </c>
      <c r="C279" s="164" t="str">
        <f>$F$12</f>
        <v/>
      </c>
      <c r="D279" s="3" t="str">
        <f>$I$12</f>
        <v/>
      </c>
      <c r="E279" s="48" t="str">
        <f>IF(C279="","",ROUND($C$299+($C$300*D279)+$C$301*D279^2,3))</f>
        <v/>
      </c>
      <c r="L279" s="24"/>
    </row>
    <row r="280" spans="2:14" x14ac:dyDescent="0.25">
      <c r="B280" s="33" t="str">
        <f t="shared" si="19"/>
        <v/>
      </c>
      <c r="C280" s="164" t="str">
        <f>$F$13</f>
        <v/>
      </c>
      <c r="D280" s="3" t="str">
        <f>$I$13</f>
        <v/>
      </c>
      <c r="E280" s="48" t="str">
        <f t="shared" ref="E280:E297" si="21">IF(C280="","",ROUND($C$299+($C$300*D280)+$C$301*D280^2,3))</f>
        <v/>
      </c>
      <c r="L280" s="24"/>
    </row>
    <row r="281" spans="2:14" x14ac:dyDescent="0.25">
      <c r="B281" s="33" t="str">
        <f t="shared" si="19"/>
        <v/>
      </c>
      <c r="C281" s="164" t="str">
        <f>$F$14</f>
        <v/>
      </c>
      <c r="D281" s="3" t="str">
        <f>$I$14</f>
        <v/>
      </c>
      <c r="E281" s="48" t="str">
        <f t="shared" si="21"/>
        <v/>
      </c>
      <c r="L281" s="24"/>
    </row>
    <row r="282" spans="2:14" x14ac:dyDescent="0.25">
      <c r="B282" s="33">
        <f t="shared" si="19"/>
        <v>1</v>
      </c>
      <c r="C282" s="164">
        <f>$F$15</f>
        <v>1990</v>
      </c>
      <c r="D282" s="3">
        <f>$I$15</f>
        <v>-1</v>
      </c>
      <c r="E282" s="48">
        <f t="shared" si="21"/>
        <v>545.83699999999999</v>
      </c>
    </row>
    <row r="283" spans="2:14" x14ac:dyDescent="0.25">
      <c r="B283" s="33">
        <f t="shared" si="19"/>
        <v>2</v>
      </c>
      <c r="C283" s="164">
        <f>$F$16</f>
        <v>2000</v>
      </c>
      <c r="D283" s="3">
        <f>$I$16</f>
        <v>0</v>
      </c>
      <c r="E283" s="48">
        <f t="shared" si="21"/>
        <v>665.86500000000001</v>
      </c>
    </row>
    <row r="284" spans="2:14" x14ac:dyDescent="0.25">
      <c r="B284" s="33">
        <f t="shared" si="19"/>
        <v>3</v>
      </c>
      <c r="C284" s="164">
        <f>$F$17</f>
        <v>2010</v>
      </c>
      <c r="D284" s="3">
        <f>$I$17</f>
        <v>1</v>
      </c>
      <c r="E284" s="48">
        <f t="shared" si="21"/>
        <v>691.89300000000003</v>
      </c>
    </row>
    <row r="285" spans="2:14" x14ac:dyDescent="0.25">
      <c r="B285" s="33">
        <f t="shared" si="19"/>
        <v>4</v>
      </c>
      <c r="C285" s="93">
        <f>$F$18</f>
        <v>2020</v>
      </c>
      <c r="D285" s="3">
        <f>$I$18</f>
        <v>2</v>
      </c>
      <c r="E285" s="48">
        <f t="shared" si="21"/>
        <v>623.92100000000005</v>
      </c>
      <c r="G285" s="24"/>
      <c r="H285" s="1"/>
    </row>
    <row r="286" spans="2:14" x14ac:dyDescent="0.25">
      <c r="B286" s="33">
        <f t="shared" si="19"/>
        <v>5</v>
      </c>
      <c r="C286" s="93">
        <f>$F$19</f>
        <v>2030</v>
      </c>
      <c r="D286" s="3">
        <f>$I$19</f>
        <v>3</v>
      </c>
      <c r="E286" s="48">
        <f t="shared" si="21"/>
        <v>461.94900000000001</v>
      </c>
      <c r="G286" s="24"/>
      <c r="H286" s="1"/>
    </row>
    <row r="287" spans="2:14" x14ac:dyDescent="0.25">
      <c r="B287" s="33">
        <f t="shared" si="19"/>
        <v>6</v>
      </c>
      <c r="C287" s="93">
        <f>$F$20</f>
        <v>2040</v>
      </c>
      <c r="D287" s="3">
        <f>$I$20</f>
        <v>4</v>
      </c>
      <c r="E287" s="48">
        <f t="shared" si="21"/>
        <v>205.977</v>
      </c>
      <c r="G287" s="24"/>
      <c r="H287" s="1"/>
    </row>
    <row r="288" spans="2:14" x14ac:dyDescent="0.25">
      <c r="B288" s="33" t="str">
        <f t="shared" si="19"/>
        <v/>
      </c>
      <c r="C288" s="93" t="str">
        <f>$F$21</f>
        <v/>
      </c>
      <c r="D288" s="3" t="str">
        <f>$I$21</f>
        <v/>
      </c>
      <c r="E288" s="48" t="str">
        <f t="shared" si="21"/>
        <v/>
      </c>
    </row>
    <row r="289" spans="2:11" x14ac:dyDescent="0.25">
      <c r="B289" s="33" t="str">
        <f t="shared" si="19"/>
        <v/>
      </c>
      <c r="C289" s="93" t="str">
        <f>$F$22</f>
        <v/>
      </c>
      <c r="D289" s="3" t="str">
        <f>$I$22</f>
        <v/>
      </c>
      <c r="E289" s="48" t="str">
        <f t="shared" si="21"/>
        <v/>
      </c>
    </row>
    <row r="290" spans="2:11" x14ac:dyDescent="0.25">
      <c r="B290" s="33" t="str">
        <f t="shared" si="19"/>
        <v/>
      </c>
      <c r="C290" s="93" t="str">
        <f>$F$23</f>
        <v/>
      </c>
      <c r="D290" s="3" t="str">
        <f>$I$23</f>
        <v/>
      </c>
      <c r="E290" s="48" t="str">
        <f t="shared" si="21"/>
        <v/>
      </c>
    </row>
    <row r="291" spans="2:11" x14ac:dyDescent="0.25">
      <c r="B291" s="33" t="str">
        <f t="shared" si="19"/>
        <v/>
      </c>
      <c r="C291" s="93" t="str">
        <f>$F$24</f>
        <v/>
      </c>
      <c r="D291" s="3" t="str">
        <f>$I$24</f>
        <v/>
      </c>
      <c r="E291" s="48" t="str">
        <f t="shared" si="21"/>
        <v/>
      </c>
    </row>
    <row r="292" spans="2:11" x14ac:dyDescent="0.25">
      <c r="B292" s="33" t="str">
        <f t="shared" si="19"/>
        <v/>
      </c>
      <c r="C292" s="93" t="str">
        <f>$F$25</f>
        <v/>
      </c>
      <c r="D292" s="3" t="str">
        <f>$I$25</f>
        <v/>
      </c>
      <c r="E292" s="48" t="str">
        <f t="shared" si="21"/>
        <v/>
      </c>
    </row>
    <row r="293" spans="2:11" x14ac:dyDescent="0.25">
      <c r="B293" s="33" t="str">
        <f t="shared" si="19"/>
        <v/>
      </c>
      <c r="C293" s="93" t="str">
        <f>$F$26</f>
        <v/>
      </c>
      <c r="D293" s="3" t="str">
        <f>$I$26</f>
        <v/>
      </c>
      <c r="E293" s="48" t="str">
        <f t="shared" si="21"/>
        <v/>
      </c>
    </row>
    <row r="294" spans="2:11" x14ac:dyDescent="0.25">
      <c r="B294" s="33" t="str">
        <f t="shared" si="19"/>
        <v/>
      </c>
      <c r="C294" s="93" t="str">
        <f>$F$27</f>
        <v/>
      </c>
      <c r="D294" s="3" t="str">
        <f>$I$27</f>
        <v/>
      </c>
      <c r="E294" s="48" t="str">
        <f t="shared" si="21"/>
        <v/>
      </c>
    </row>
    <row r="295" spans="2:11" x14ac:dyDescent="0.25">
      <c r="B295" s="33" t="str">
        <f t="shared" si="19"/>
        <v/>
      </c>
      <c r="C295" s="93" t="str">
        <f>$F$28</f>
        <v/>
      </c>
      <c r="D295" s="3" t="str">
        <f>$I$28</f>
        <v/>
      </c>
      <c r="E295" s="48" t="str">
        <f t="shared" si="21"/>
        <v/>
      </c>
    </row>
    <row r="296" spans="2:11" x14ac:dyDescent="0.25">
      <c r="B296" s="33" t="str">
        <f t="shared" si="19"/>
        <v/>
      </c>
      <c r="C296" s="93" t="str">
        <f>$F$29</f>
        <v/>
      </c>
      <c r="D296" s="3" t="str">
        <f>$I$29</f>
        <v/>
      </c>
      <c r="E296" s="48" t="str">
        <f t="shared" si="21"/>
        <v/>
      </c>
    </row>
    <row r="297" spans="2:11" ht="15.75" thickBot="1" x14ac:dyDescent="0.3">
      <c r="B297" s="30" t="str">
        <f t="shared" si="19"/>
        <v/>
      </c>
      <c r="C297" s="193" t="str">
        <f>$F$30</f>
        <v/>
      </c>
      <c r="D297" s="22" t="str">
        <f>$I$30</f>
        <v/>
      </c>
      <c r="E297" s="104" t="str">
        <f t="shared" si="21"/>
        <v/>
      </c>
    </row>
    <row r="298" spans="2:11" x14ac:dyDescent="0.25">
      <c r="B298" s="7"/>
      <c r="C298" s="5"/>
    </row>
    <row r="299" spans="2:11" x14ac:dyDescent="0.25">
      <c r="B299" s="7" t="s">
        <v>9</v>
      </c>
      <c r="C299" s="122">
        <f>C261</f>
        <v>665.86500000000001</v>
      </c>
      <c r="K299" s="24"/>
    </row>
    <row r="300" spans="2:11" x14ac:dyDescent="0.25">
      <c r="B300" s="7" t="s">
        <v>11</v>
      </c>
      <c r="C300" s="122">
        <f>C265</f>
        <v>73.02800000000002</v>
      </c>
      <c r="F300" s="24"/>
      <c r="G300" s="24"/>
      <c r="K300" s="24"/>
    </row>
    <row r="301" spans="2:11" x14ac:dyDescent="0.25">
      <c r="B301" s="7" t="s">
        <v>31</v>
      </c>
      <c r="C301" s="122">
        <f>C257</f>
        <v>-47</v>
      </c>
      <c r="F301" s="24"/>
      <c r="G301" s="1"/>
      <c r="K301" s="24"/>
    </row>
    <row r="302" spans="2:11" x14ac:dyDescent="0.25">
      <c r="B302" s="7" t="s">
        <v>164</v>
      </c>
      <c r="C302" s="5">
        <f>INDEX(C273:E297,index,2)</f>
        <v>-1</v>
      </c>
    </row>
    <row r="303" spans="2:11" x14ac:dyDescent="0.25">
      <c r="B303" s="14"/>
      <c r="C303" s="17"/>
    </row>
    <row r="304" spans="2:11" x14ac:dyDescent="0.25">
      <c r="B304" s="14" t="str">
        <f>"Yc{1} = "</f>
        <v xml:space="preserve">Yc{1} = </v>
      </c>
      <c r="C304" s="17" t="str">
        <f>"a + bX{1} + c(X{1})^2"</f>
        <v>a + bX{1} + c(X{1})^2</v>
      </c>
    </row>
    <row r="305" spans="2:9" x14ac:dyDescent="0.25">
      <c r="B305" s="181" t="s">
        <v>155</v>
      </c>
      <c r="C305" s="184" t="str">
        <f>TEXT($C$299,"#,###.###")&amp;" + ("&amp;TEXT($C$300,"#,###.###")&amp;")("&amp;TEXT($D$282,"#,###")&amp;") + ("&amp;TEXT($C$301,"#,###.#000")&amp;")("&amp;TEXT($D$282,"#,###")&amp;")^2"</f>
        <v>665.865 + (73.028)(-1) + (-47.000)(-1)^2</v>
      </c>
    </row>
    <row r="306" spans="2:9" x14ac:dyDescent="0.25">
      <c r="B306" s="181" t="s">
        <v>155</v>
      </c>
      <c r="C306" s="184">
        <f>$C$299+($C$300*$D$282)+($C$301*$D$282^2)</f>
        <v>545.83699999999999</v>
      </c>
    </row>
    <row r="307" spans="2:9" x14ac:dyDescent="0.25">
      <c r="B307" s="181"/>
      <c r="C307" s="17"/>
    </row>
    <row r="309" spans="2:9" ht="15.75" x14ac:dyDescent="0.25">
      <c r="B309" s="41" t="s">
        <v>69</v>
      </c>
    </row>
    <row r="310" spans="2:9" ht="15.75" x14ac:dyDescent="0.25">
      <c r="B310" s="42" t="str">
        <f>IF(upper.limit,Label,"")</f>
        <v>DeKalb County Population, 1900 to 2040</v>
      </c>
      <c r="C310" s="40"/>
      <c r="D310" s="40"/>
      <c r="E310" s="6"/>
      <c r="F310" s="6"/>
      <c r="G310" s="6"/>
    </row>
    <row r="312" spans="2:9" x14ac:dyDescent="0.25">
      <c r="B312" s="5" t="s">
        <v>82</v>
      </c>
      <c r="C312" s="201">
        <f>IF(upper.limit,limit,"")</f>
        <v>960</v>
      </c>
      <c r="D312" s="18"/>
    </row>
    <row r="313" spans="2:9" ht="15.75" thickBot="1" x14ac:dyDescent="0.3">
      <c r="B313" s="5"/>
      <c r="D313" s="18"/>
    </row>
    <row r="314" spans="2:9" x14ac:dyDescent="0.25">
      <c r="B314" s="29" t="s">
        <v>66</v>
      </c>
      <c r="C314" s="19" t="s">
        <v>67</v>
      </c>
      <c r="D314" s="19" t="s">
        <v>17</v>
      </c>
      <c r="E314" s="19" t="s">
        <v>74</v>
      </c>
      <c r="F314" s="19" t="s">
        <v>71</v>
      </c>
      <c r="G314" s="19" t="s">
        <v>72</v>
      </c>
      <c r="H314" s="19" t="s">
        <v>68</v>
      </c>
      <c r="I314" s="20" t="s">
        <v>73</v>
      </c>
    </row>
    <row r="315" spans="2:9" x14ac:dyDescent="0.25">
      <c r="B315" s="31" t="s">
        <v>2</v>
      </c>
      <c r="C315" s="4" t="s">
        <v>3</v>
      </c>
      <c r="D315" s="4" t="s">
        <v>4</v>
      </c>
      <c r="E315" s="4" t="s">
        <v>5</v>
      </c>
      <c r="F315" s="4" t="s">
        <v>6</v>
      </c>
      <c r="G315" s="43" t="s">
        <v>25</v>
      </c>
      <c r="H315" s="43" t="s">
        <v>47</v>
      </c>
      <c r="I315" s="44" t="s">
        <v>56</v>
      </c>
    </row>
    <row r="316" spans="2:9" x14ac:dyDescent="0.25">
      <c r="B316" s="33" t="str">
        <f>IF(upper.limit,E6,"")</f>
        <v/>
      </c>
      <c r="C316" s="49" t="str">
        <f>IF(upper.limit,G6,"")</f>
        <v/>
      </c>
      <c r="D316" s="186" t="str">
        <f t="shared" ref="D316:D340" si="22">IF(B316="","",LOG(C316))</f>
        <v/>
      </c>
      <c r="E316" s="186" t="str">
        <f t="shared" ref="E316:E340" si="23">IF(B316="","",LOG($C$312))</f>
        <v/>
      </c>
      <c r="F316" s="186" t="str">
        <f t="shared" ref="F316:F340" si="24">IF(B316="","",E316-D316)</f>
        <v/>
      </c>
      <c r="G316" s="186" t="str">
        <f t="shared" ref="G316:G340" si="25">IF(B316="","",LOG(F316))</f>
        <v/>
      </c>
      <c r="H316" s="3" t="str">
        <f>IF(upper.limit,H6,"")</f>
        <v/>
      </c>
      <c r="I316" s="87" t="str">
        <f t="shared" ref="I316:I340" si="26">IF(B316="","",G316*H316)</f>
        <v/>
      </c>
    </row>
    <row r="317" spans="2:9" x14ac:dyDescent="0.25">
      <c r="B317" s="33" t="str">
        <f>IF(upper.limit,E7,"")</f>
        <v/>
      </c>
      <c r="C317" s="49" t="str">
        <f>IF(upper.limit,G7,"")</f>
        <v/>
      </c>
      <c r="D317" s="186" t="str">
        <f t="shared" si="22"/>
        <v/>
      </c>
      <c r="E317" s="186" t="str">
        <f t="shared" si="23"/>
        <v/>
      </c>
      <c r="F317" s="186" t="str">
        <f t="shared" si="24"/>
        <v/>
      </c>
      <c r="G317" s="186" t="str">
        <f t="shared" si="25"/>
        <v/>
      </c>
      <c r="H317" s="3" t="str">
        <f>IF(upper.limit,H7,"")</f>
        <v/>
      </c>
      <c r="I317" s="87" t="str">
        <f t="shared" si="26"/>
        <v/>
      </c>
    </row>
    <row r="318" spans="2:9" x14ac:dyDescent="0.25">
      <c r="B318" s="33" t="str">
        <f>IF(upper.limit,E8,"")</f>
        <v/>
      </c>
      <c r="C318" s="49" t="str">
        <f>IF(upper.limit,G8,"")</f>
        <v/>
      </c>
      <c r="D318" s="186" t="str">
        <f t="shared" si="22"/>
        <v/>
      </c>
      <c r="E318" s="186" t="str">
        <f t="shared" si="23"/>
        <v/>
      </c>
      <c r="F318" s="186" t="str">
        <f t="shared" si="24"/>
        <v/>
      </c>
      <c r="G318" s="186" t="str">
        <f t="shared" si="25"/>
        <v/>
      </c>
      <c r="H318" s="3" t="str">
        <f>IF(upper.limit,H8,"")</f>
        <v/>
      </c>
      <c r="I318" s="87" t="str">
        <f t="shared" si="26"/>
        <v/>
      </c>
    </row>
    <row r="319" spans="2:9" x14ac:dyDescent="0.25">
      <c r="B319" s="33" t="str">
        <f>IF(upper.limit,E9,"")</f>
        <v/>
      </c>
      <c r="C319" s="49" t="str">
        <f>IF(upper.limit,G9,"")</f>
        <v/>
      </c>
      <c r="D319" s="186" t="str">
        <f t="shared" si="22"/>
        <v/>
      </c>
      <c r="E319" s="186" t="str">
        <f t="shared" si="23"/>
        <v/>
      </c>
      <c r="F319" s="186" t="str">
        <f t="shared" si="24"/>
        <v/>
      </c>
      <c r="G319" s="186" t="str">
        <f t="shared" si="25"/>
        <v/>
      </c>
      <c r="H319" s="3" t="str">
        <f>IF(upper.limit,H9,"")</f>
        <v/>
      </c>
      <c r="I319" s="87" t="str">
        <f t="shared" si="26"/>
        <v/>
      </c>
    </row>
    <row r="320" spans="2:9" x14ac:dyDescent="0.25">
      <c r="B320" s="33" t="str">
        <f>IF(upper.limit,E10,"")</f>
        <v/>
      </c>
      <c r="C320" s="49" t="str">
        <f>IF(upper.limit,G10,"")</f>
        <v/>
      </c>
      <c r="D320" s="186" t="str">
        <f t="shared" si="22"/>
        <v/>
      </c>
      <c r="E320" s="186" t="str">
        <f t="shared" si="23"/>
        <v/>
      </c>
      <c r="F320" s="186" t="str">
        <f t="shared" si="24"/>
        <v/>
      </c>
      <c r="G320" s="186" t="str">
        <f t="shared" si="25"/>
        <v/>
      </c>
      <c r="H320" s="3" t="str">
        <f>IF(upper.limit,H10,"")</f>
        <v/>
      </c>
      <c r="I320" s="87" t="str">
        <f t="shared" si="26"/>
        <v/>
      </c>
    </row>
    <row r="321" spans="2:9" x14ac:dyDescent="0.25">
      <c r="B321" s="33" t="str">
        <f>IF(upper.limit,E11,"")</f>
        <v/>
      </c>
      <c r="C321" s="49" t="str">
        <f>IF(upper.limit,G11,"")</f>
        <v/>
      </c>
      <c r="D321" s="186" t="str">
        <f t="shared" si="22"/>
        <v/>
      </c>
      <c r="E321" s="186" t="str">
        <f t="shared" si="23"/>
        <v/>
      </c>
      <c r="F321" s="186" t="str">
        <f t="shared" si="24"/>
        <v/>
      </c>
      <c r="G321" s="186" t="str">
        <f t="shared" si="25"/>
        <v/>
      </c>
      <c r="H321" s="3" t="str">
        <f>IF(upper.limit,H11,"")</f>
        <v/>
      </c>
      <c r="I321" s="87" t="str">
        <f t="shared" si="26"/>
        <v/>
      </c>
    </row>
    <row r="322" spans="2:9" x14ac:dyDescent="0.25">
      <c r="B322" s="33" t="str">
        <f>IF(upper.limit,E12,"")</f>
        <v/>
      </c>
      <c r="C322" s="49" t="str">
        <f>IF(upper.limit,G12,"")</f>
        <v/>
      </c>
      <c r="D322" s="186" t="str">
        <f t="shared" si="22"/>
        <v/>
      </c>
      <c r="E322" s="186" t="str">
        <f t="shared" si="23"/>
        <v/>
      </c>
      <c r="F322" s="186" t="str">
        <f t="shared" si="24"/>
        <v/>
      </c>
      <c r="G322" s="186" t="str">
        <f t="shared" si="25"/>
        <v/>
      </c>
      <c r="H322" s="3" t="str">
        <f>IF(upper.limit,H12,"")</f>
        <v/>
      </c>
      <c r="I322" s="87" t="str">
        <f t="shared" si="26"/>
        <v/>
      </c>
    </row>
    <row r="323" spans="2:9" x14ac:dyDescent="0.25">
      <c r="B323" s="33" t="str">
        <f>IF(upper.limit,E13,"")</f>
        <v/>
      </c>
      <c r="C323" s="49" t="str">
        <f>IF(upper.limit,G13,"")</f>
        <v/>
      </c>
      <c r="D323" s="186" t="str">
        <f t="shared" si="22"/>
        <v/>
      </c>
      <c r="E323" s="186" t="str">
        <f t="shared" si="23"/>
        <v/>
      </c>
      <c r="F323" s="186" t="str">
        <f t="shared" si="24"/>
        <v/>
      </c>
      <c r="G323" s="186" t="str">
        <f t="shared" si="25"/>
        <v/>
      </c>
      <c r="H323" s="3" t="str">
        <f>IF(upper.limit,H13,"")</f>
        <v/>
      </c>
      <c r="I323" s="87" t="str">
        <f t="shared" si="26"/>
        <v/>
      </c>
    </row>
    <row r="324" spans="2:9" x14ac:dyDescent="0.25">
      <c r="B324" s="33" t="str">
        <f>IF(upper.limit,E14,"")</f>
        <v/>
      </c>
      <c r="C324" s="49" t="str">
        <f>IF(upper.limit,G14,"")</f>
        <v/>
      </c>
      <c r="D324" s="186" t="str">
        <f t="shared" si="22"/>
        <v/>
      </c>
      <c r="E324" s="186" t="str">
        <f t="shared" si="23"/>
        <v/>
      </c>
      <c r="F324" s="186" t="str">
        <f t="shared" si="24"/>
        <v/>
      </c>
      <c r="G324" s="186" t="str">
        <f t="shared" si="25"/>
        <v/>
      </c>
      <c r="H324" s="3" t="str">
        <f>IF(upper.limit,H14,"")</f>
        <v/>
      </c>
      <c r="I324" s="87" t="str">
        <f t="shared" si="26"/>
        <v/>
      </c>
    </row>
    <row r="325" spans="2:9" x14ac:dyDescent="0.25">
      <c r="B325" s="33">
        <f>IF(upper.limit,E15,"")</f>
        <v>1990</v>
      </c>
      <c r="C325" s="49">
        <f>IF(upper.limit,G15,"")</f>
        <v>545.83699999999999</v>
      </c>
      <c r="D325" s="186">
        <f t="shared" si="22"/>
        <v>2.7370629713324059</v>
      </c>
      <c r="E325" s="186">
        <f t="shared" si="23"/>
        <v>2.9822712330395684</v>
      </c>
      <c r="F325" s="186">
        <f t="shared" si="24"/>
        <v>0.24520826170716248</v>
      </c>
      <c r="G325" s="186">
        <f t="shared" si="25"/>
        <v>-0.61046490139103571</v>
      </c>
      <c r="H325" s="3">
        <f>IF(upper.limit,H15,"")</f>
        <v>-1</v>
      </c>
      <c r="I325" s="87">
        <f t="shared" si="26"/>
        <v>0.61046490139103571</v>
      </c>
    </row>
    <row r="326" spans="2:9" x14ac:dyDescent="0.25">
      <c r="B326" s="33">
        <f>IF(upper.limit,E16,"")</f>
        <v>2000</v>
      </c>
      <c r="C326" s="49">
        <f>IF(upper.limit,G16,"")</f>
        <v>665.86500000000001</v>
      </c>
      <c r="D326" s="186">
        <f t="shared" si="22"/>
        <v>2.8233861875816149</v>
      </c>
      <c r="E326" s="186">
        <f t="shared" si="23"/>
        <v>2.9822712330395684</v>
      </c>
      <c r="F326" s="186">
        <f t="shared" si="24"/>
        <v>0.15888504545795357</v>
      </c>
      <c r="G326" s="186">
        <f t="shared" si="25"/>
        <v>-0.79891697743532486</v>
      </c>
      <c r="H326" s="3">
        <f>IF(upper.limit,H16,"")</f>
        <v>0</v>
      </c>
      <c r="I326" s="87">
        <f t="shared" si="26"/>
        <v>0</v>
      </c>
    </row>
    <row r="327" spans="2:9" x14ac:dyDescent="0.25">
      <c r="B327" s="33">
        <f>IF(upper.limit,E17,"")</f>
        <v>2010</v>
      </c>
      <c r="C327" s="49">
        <f>IF(upper.limit,G17,"")</f>
        <v>691.89300000000003</v>
      </c>
      <c r="D327" s="186">
        <f t="shared" si="22"/>
        <v>2.8400389367940537</v>
      </c>
      <c r="E327" s="186">
        <f t="shared" si="23"/>
        <v>2.9822712330395684</v>
      </c>
      <c r="F327" s="186">
        <f t="shared" si="24"/>
        <v>0.1422322962455147</v>
      </c>
      <c r="G327" s="186">
        <f t="shared" si="25"/>
        <v>-0.84700177851016711</v>
      </c>
      <c r="H327" s="3">
        <f>IF(upper.limit,H17,"")</f>
        <v>1</v>
      </c>
      <c r="I327" s="87">
        <f t="shared" si="26"/>
        <v>-0.84700177851016711</v>
      </c>
    </row>
    <row r="328" spans="2:9" x14ac:dyDescent="0.25">
      <c r="B328" s="33" t="str">
        <f>IF(upper.limit,E18,"")</f>
        <v/>
      </c>
      <c r="C328" s="49" t="str">
        <f>IF(upper.limit,G18,"")</f>
        <v/>
      </c>
      <c r="D328" s="186" t="str">
        <f t="shared" si="22"/>
        <v/>
      </c>
      <c r="E328" s="186" t="str">
        <f t="shared" si="23"/>
        <v/>
      </c>
      <c r="F328" s="186" t="str">
        <f t="shared" si="24"/>
        <v/>
      </c>
      <c r="G328" s="186" t="str">
        <f t="shared" si="25"/>
        <v/>
      </c>
      <c r="H328" s="3" t="str">
        <f>IF(upper.limit,H18,"")</f>
        <v/>
      </c>
      <c r="I328" s="87" t="str">
        <f t="shared" si="26"/>
        <v/>
      </c>
    </row>
    <row r="329" spans="2:9" x14ac:dyDescent="0.25">
      <c r="B329" s="33" t="str">
        <f>IF(upper.limit,E19,"")</f>
        <v/>
      </c>
      <c r="C329" s="49" t="str">
        <f>IF(upper.limit,G19,"")</f>
        <v/>
      </c>
      <c r="D329" s="186" t="str">
        <f t="shared" si="22"/>
        <v/>
      </c>
      <c r="E329" s="186" t="str">
        <f t="shared" si="23"/>
        <v/>
      </c>
      <c r="F329" s="186" t="str">
        <f t="shared" si="24"/>
        <v/>
      </c>
      <c r="G329" s="186" t="str">
        <f t="shared" si="25"/>
        <v/>
      </c>
      <c r="H329" s="3" t="str">
        <f>IF(upper.limit,H19,"")</f>
        <v/>
      </c>
      <c r="I329" s="87" t="str">
        <f t="shared" si="26"/>
        <v/>
      </c>
    </row>
    <row r="330" spans="2:9" x14ac:dyDescent="0.25">
      <c r="B330" s="33" t="str">
        <f>IF(upper.limit,E20,"")</f>
        <v/>
      </c>
      <c r="C330" s="49" t="str">
        <f>IF(upper.limit,G20,"")</f>
        <v/>
      </c>
      <c r="D330" s="186" t="str">
        <f t="shared" si="22"/>
        <v/>
      </c>
      <c r="E330" s="186" t="str">
        <f t="shared" si="23"/>
        <v/>
      </c>
      <c r="F330" s="186" t="str">
        <f t="shared" si="24"/>
        <v/>
      </c>
      <c r="G330" s="186" t="str">
        <f t="shared" si="25"/>
        <v/>
      </c>
      <c r="H330" s="3" t="str">
        <f>IF(upper.limit,H20,"")</f>
        <v/>
      </c>
      <c r="I330" s="87" t="str">
        <f t="shared" si="26"/>
        <v/>
      </c>
    </row>
    <row r="331" spans="2:9" x14ac:dyDescent="0.25">
      <c r="B331" s="33" t="str">
        <f>IF(upper.limit,E21,"")</f>
        <v/>
      </c>
      <c r="C331" s="49" t="str">
        <f>IF(upper.limit,G21,"")</f>
        <v/>
      </c>
      <c r="D331" s="186" t="str">
        <f t="shared" si="22"/>
        <v/>
      </c>
      <c r="E331" s="186" t="str">
        <f t="shared" si="23"/>
        <v/>
      </c>
      <c r="F331" s="186" t="str">
        <f t="shared" si="24"/>
        <v/>
      </c>
      <c r="G331" s="186" t="str">
        <f t="shared" si="25"/>
        <v/>
      </c>
      <c r="H331" s="3" t="str">
        <f>IF(upper.limit,H21,"")</f>
        <v/>
      </c>
      <c r="I331" s="87" t="str">
        <f t="shared" si="26"/>
        <v/>
      </c>
    </row>
    <row r="332" spans="2:9" x14ac:dyDescent="0.25">
      <c r="B332" s="33" t="str">
        <f>IF(upper.limit,E22,"")</f>
        <v/>
      </c>
      <c r="C332" s="49" t="str">
        <f>IF(upper.limit,G22,"")</f>
        <v/>
      </c>
      <c r="D332" s="186" t="str">
        <f t="shared" si="22"/>
        <v/>
      </c>
      <c r="E332" s="186" t="str">
        <f t="shared" si="23"/>
        <v/>
      </c>
      <c r="F332" s="186" t="str">
        <f t="shared" si="24"/>
        <v/>
      </c>
      <c r="G332" s="186" t="str">
        <f t="shared" si="25"/>
        <v/>
      </c>
      <c r="H332" s="3" t="str">
        <f>IF(upper.limit,H22,"")</f>
        <v/>
      </c>
      <c r="I332" s="87" t="str">
        <f t="shared" si="26"/>
        <v/>
      </c>
    </row>
    <row r="333" spans="2:9" x14ac:dyDescent="0.25">
      <c r="B333" s="33" t="str">
        <f>IF(upper.limit,E23,"")</f>
        <v/>
      </c>
      <c r="C333" s="49" t="str">
        <f>IF(upper.limit,G23,"")</f>
        <v/>
      </c>
      <c r="D333" s="186" t="str">
        <f t="shared" si="22"/>
        <v/>
      </c>
      <c r="E333" s="186" t="str">
        <f t="shared" si="23"/>
        <v/>
      </c>
      <c r="F333" s="186" t="str">
        <f t="shared" si="24"/>
        <v/>
      </c>
      <c r="G333" s="186" t="str">
        <f t="shared" si="25"/>
        <v/>
      </c>
      <c r="H333" s="3" t="str">
        <f>IF(upper.limit,H23,"")</f>
        <v/>
      </c>
      <c r="I333" s="87" t="str">
        <f t="shared" si="26"/>
        <v/>
      </c>
    </row>
    <row r="334" spans="2:9" x14ac:dyDescent="0.25">
      <c r="B334" s="33" t="str">
        <f>IF(upper.limit,E24,"")</f>
        <v/>
      </c>
      <c r="C334" s="49" t="str">
        <f>IF(upper.limit,G24,"")</f>
        <v/>
      </c>
      <c r="D334" s="186" t="str">
        <f t="shared" si="22"/>
        <v/>
      </c>
      <c r="E334" s="186" t="str">
        <f t="shared" si="23"/>
        <v/>
      </c>
      <c r="F334" s="186" t="str">
        <f t="shared" si="24"/>
        <v/>
      </c>
      <c r="G334" s="186" t="str">
        <f t="shared" si="25"/>
        <v/>
      </c>
      <c r="H334" s="3" t="str">
        <f>IF(upper.limit,H24,"")</f>
        <v/>
      </c>
      <c r="I334" s="87" t="str">
        <f t="shared" si="26"/>
        <v/>
      </c>
    </row>
    <row r="335" spans="2:9" x14ac:dyDescent="0.25">
      <c r="B335" s="33" t="str">
        <f>IF(upper.limit,E25,"")</f>
        <v/>
      </c>
      <c r="C335" s="49" t="str">
        <f>IF(upper.limit,G25,"")</f>
        <v/>
      </c>
      <c r="D335" s="186" t="str">
        <f t="shared" si="22"/>
        <v/>
      </c>
      <c r="E335" s="186" t="str">
        <f t="shared" si="23"/>
        <v/>
      </c>
      <c r="F335" s="186" t="str">
        <f t="shared" si="24"/>
        <v/>
      </c>
      <c r="G335" s="186" t="str">
        <f t="shared" si="25"/>
        <v/>
      </c>
      <c r="H335" s="3" t="str">
        <f>IF(upper.limit,H25,"")</f>
        <v/>
      </c>
      <c r="I335" s="87" t="str">
        <f t="shared" si="26"/>
        <v/>
      </c>
    </row>
    <row r="336" spans="2:9" x14ac:dyDescent="0.25">
      <c r="B336" s="33" t="str">
        <f>IF(upper.limit,E26,"")</f>
        <v/>
      </c>
      <c r="C336" s="49" t="str">
        <f>IF(upper.limit,G26,"")</f>
        <v/>
      </c>
      <c r="D336" s="186" t="str">
        <f t="shared" si="22"/>
        <v/>
      </c>
      <c r="E336" s="186" t="str">
        <f t="shared" si="23"/>
        <v/>
      </c>
      <c r="F336" s="186" t="str">
        <f t="shared" si="24"/>
        <v/>
      </c>
      <c r="G336" s="186" t="str">
        <f t="shared" si="25"/>
        <v/>
      </c>
      <c r="H336" s="3" t="str">
        <f>IF(upper.limit,H26,"")</f>
        <v/>
      </c>
      <c r="I336" s="87" t="str">
        <f t="shared" si="26"/>
        <v/>
      </c>
    </row>
    <row r="337" spans="2:13" x14ac:dyDescent="0.25">
      <c r="B337" s="33" t="str">
        <f>IF(upper.limit,E27,"")</f>
        <v/>
      </c>
      <c r="C337" s="49" t="str">
        <f>IF(upper.limit,G27,"")</f>
        <v/>
      </c>
      <c r="D337" s="186" t="str">
        <f t="shared" si="22"/>
        <v/>
      </c>
      <c r="E337" s="186" t="str">
        <f t="shared" si="23"/>
        <v/>
      </c>
      <c r="F337" s="186" t="str">
        <f t="shared" si="24"/>
        <v/>
      </c>
      <c r="G337" s="186" t="str">
        <f t="shared" si="25"/>
        <v/>
      </c>
      <c r="H337" s="3" t="str">
        <f>IF(upper.limit,H27,"")</f>
        <v/>
      </c>
      <c r="I337" s="87" t="str">
        <f t="shared" si="26"/>
        <v/>
      </c>
    </row>
    <row r="338" spans="2:13" x14ac:dyDescent="0.25">
      <c r="B338" s="33" t="str">
        <f>IF(upper.limit,E28,"")</f>
        <v/>
      </c>
      <c r="C338" s="49" t="str">
        <f>IF(upper.limit,G28,"")</f>
        <v/>
      </c>
      <c r="D338" s="186" t="str">
        <f t="shared" si="22"/>
        <v/>
      </c>
      <c r="E338" s="186" t="str">
        <f t="shared" si="23"/>
        <v/>
      </c>
      <c r="F338" s="186" t="str">
        <f t="shared" si="24"/>
        <v/>
      </c>
      <c r="G338" s="186" t="str">
        <f t="shared" si="25"/>
        <v/>
      </c>
      <c r="H338" s="3" t="str">
        <f>IF(upper.limit,H28,"")</f>
        <v/>
      </c>
      <c r="I338" s="87" t="str">
        <f t="shared" si="26"/>
        <v/>
      </c>
    </row>
    <row r="339" spans="2:13" x14ac:dyDescent="0.25">
      <c r="B339" s="33" t="str">
        <f>IF(upper.limit,E29,"")</f>
        <v/>
      </c>
      <c r="C339" s="49" t="str">
        <f>IF(upper.limit,G28,"")</f>
        <v/>
      </c>
      <c r="D339" s="186" t="str">
        <f t="shared" si="22"/>
        <v/>
      </c>
      <c r="E339" s="186" t="str">
        <f t="shared" si="23"/>
        <v/>
      </c>
      <c r="F339" s="186" t="str">
        <f t="shared" si="24"/>
        <v/>
      </c>
      <c r="G339" s="186" t="str">
        <f t="shared" si="25"/>
        <v/>
      </c>
      <c r="H339" s="3" t="str">
        <f>IF(upper.limit,H28,"")</f>
        <v/>
      </c>
      <c r="I339" s="87" t="str">
        <f t="shared" si="26"/>
        <v/>
      </c>
    </row>
    <row r="340" spans="2:13" x14ac:dyDescent="0.25">
      <c r="B340" s="33" t="str">
        <f>IF(upper.limit,E30,"")</f>
        <v/>
      </c>
      <c r="C340" s="49" t="str">
        <f>IF(upper.limit,G29,"")</f>
        <v/>
      </c>
      <c r="D340" s="186" t="str">
        <f t="shared" si="22"/>
        <v/>
      </c>
      <c r="E340" s="186" t="str">
        <f t="shared" si="23"/>
        <v/>
      </c>
      <c r="F340" s="186" t="str">
        <f t="shared" si="24"/>
        <v/>
      </c>
      <c r="G340" s="186" t="str">
        <f t="shared" si="25"/>
        <v/>
      </c>
      <c r="H340" s="3" t="str">
        <f>IF(upper.limit,H29,"")</f>
        <v/>
      </c>
      <c r="I340" s="87" t="str">
        <f t="shared" si="26"/>
        <v/>
      </c>
    </row>
    <row r="341" spans="2:13" ht="15.75" thickBot="1" x14ac:dyDescent="0.3">
      <c r="B341" s="27" t="s">
        <v>7</v>
      </c>
      <c r="C341" s="36"/>
      <c r="D341" s="37"/>
      <c r="E341" s="37"/>
      <c r="F341" s="37"/>
      <c r="G341" s="38">
        <f>SUM(G316:G340)</f>
        <v>-2.2563836573365279</v>
      </c>
      <c r="H341" s="36"/>
      <c r="I341" s="38">
        <f>SUM(I316:I340)</f>
        <v>-0.23653687711913141</v>
      </c>
    </row>
    <row r="343" spans="2:13" x14ac:dyDescent="0.25">
      <c r="B343" s="7" t="s">
        <v>8</v>
      </c>
      <c r="C343" s="5">
        <f>IF(upper.limit,N,"")</f>
        <v>3</v>
      </c>
      <c r="L343" s="6"/>
      <c r="M343" s="6"/>
    </row>
    <row r="344" spans="2:13" x14ac:dyDescent="0.25">
      <c r="C344" s="5"/>
    </row>
    <row r="345" spans="2:13" x14ac:dyDescent="0.25">
      <c r="B345" s="7" t="s">
        <v>179</v>
      </c>
      <c r="C345" s="5">
        <f>IF(upper.limit,Sum.X2,"")</f>
        <v>2</v>
      </c>
      <c r="L345" s="7"/>
      <c r="M345" s="9"/>
    </row>
    <row r="346" spans="2:13" x14ac:dyDescent="0.25">
      <c r="L346" s="7"/>
      <c r="M346" s="9"/>
    </row>
    <row r="347" spans="2:13" ht="15.75" x14ac:dyDescent="0.25">
      <c r="B347" s="7" t="s">
        <v>178</v>
      </c>
      <c r="C347" s="5" t="str">
        <f>IF(upper.limit,"SUM[(log(log c - log Y)] / N","")</f>
        <v>SUM[(log(log c - log Y)] / N</v>
      </c>
      <c r="J347" s="39"/>
    </row>
    <row r="348" spans="2:13" x14ac:dyDescent="0.25">
      <c r="B348" s="181" t="s">
        <v>155</v>
      </c>
      <c r="C348" s="15" t="str">
        <f>IF(upper.limit,TEXT($G$341,"#,###.####")&amp;" / "&amp;TEXT($C$343,"#,###"),"")</f>
        <v>-2.2564 / 3</v>
      </c>
      <c r="K348" s="6"/>
      <c r="L348" s="24"/>
    </row>
    <row r="349" spans="2:13" x14ac:dyDescent="0.25">
      <c r="B349" s="181" t="s">
        <v>155</v>
      </c>
      <c r="C349" s="15">
        <f>IF(upper.limit,$G$341/$C$343,"")</f>
        <v>-0.7521278857788426</v>
      </c>
      <c r="K349" s="6"/>
      <c r="L349" s="24"/>
    </row>
    <row r="350" spans="2:13" x14ac:dyDescent="0.25">
      <c r="J350" s="7"/>
    </row>
    <row r="351" spans="2:13" x14ac:dyDescent="0.25">
      <c r="B351" s="7" t="s">
        <v>162</v>
      </c>
      <c r="C351" t="str">
        <f>IF(upper.limit,"10^[log(log a)]","")</f>
        <v>10^[log(log a)]</v>
      </c>
      <c r="J351" s="7"/>
    </row>
    <row r="352" spans="2:13" x14ac:dyDescent="0.25">
      <c r="B352" s="181" t="s">
        <v>155</v>
      </c>
      <c r="C352" s="15" t="str">
        <f>IF(upper.limit,"10^("&amp;TEXT($C$349,"#0.####")&amp;")","")</f>
        <v>10^(-0.7521)</v>
      </c>
      <c r="J352" s="7"/>
      <c r="K352" s="8"/>
      <c r="L352" s="24"/>
    </row>
    <row r="353" spans="2:13" x14ac:dyDescent="0.25">
      <c r="B353" s="181" t="s">
        <v>155</v>
      </c>
      <c r="C353" s="15">
        <f>IF(upper.limit,10^$C$349,"")</f>
        <v>0.17695877948077152</v>
      </c>
      <c r="J353" s="7"/>
      <c r="K353" s="8"/>
      <c r="L353" s="24"/>
    </row>
    <row r="354" spans="2:13" x14ac:dyDescent="0.25">
      <c r="B354" s="14"/>
      <c r="C354" s="15"/>
      <c r="J354" s="7"/>
      <c r="K354" s="8"/>
      <c r="L354" s="24"/>
    </row>
    <row r="355" spans="2:13" x14ac:dyDescent="0.25">
      <c r="B355" s="7" t="s">
        <v>9</v>
      </c>
      <c r="C355" t="str">
        <f>IF(upper.limit,"10^log(a)","")</f>
        <v>10^log(a)</v>
      </c>
      <c r="K355" s="8"/>
      <c r="L355" s="1"/>
    </row>
    <row r="356" spans="2:13" x14ac:dyDescent="0.25">
      <c r="B356" s="57" t="s">
        <v>155</v>
      </c>
      <c r="C356" s="8" t="str">
        <f>IF(upper.limit,"10^"&amp;TEXT($C$353,"#0.###0"),"")</f>
        <v>10^0.1770</v>
      </c>
      <c r="K356" s="8"/>
      <c r="L356" s="1"/>
    </row>
    <row r="357" spans="2:13" x14ac:dyDescent="0.25">
      <c r="B357" s="7"/>
      <c r="C357" s="8">
        <f>IF(upper.limit,10^$C$353,"")</f>
        <v>1.5029993040149807</v>
      </c>
      <c r="K357" s="8"/>
      <c r="L357" s="1"/>
    </row>
    <row r="358" spans="2:13" x14ac:dyDescent="0.25">
      <c r="B358" s="7"/>
      <c r="C358" s="8"/>
      <c r="K358" s="8"/>
      <c r="L358" s="1"/>
    </row>
    <row r="359" spans="2:13" x14ac:dyDescent="0.25">
      <c r="B359" s="7" t="s">
        <v>177</v>
      </c>
      <c r="C359" s="5" t="str">
        <f>IF(upper.limit,"SUM([log(log c - log Y)]X]/SUM(X^2)","")</f>
        <v>SUM([log(log c - log Y)]X]/SUM(X^2)</v>
      </c>
      <c r="J359" s="24"/>
      <c r="L359" s="1"/>
    </row>
    <row r="360" spans="2:13" x14ac:dyDescent="0.25">
      <c r="B360" s="181" t="s">
        <v>155</v>
      </c>
      <c r="C360" s="15" t="str">
        <f>IF(upper.limit,TEXT($I$341,"#0.###0")&amp;" / "&amp;TEXT($C$345,"#,###"),"")</f>
        <v>-0.2365 / 2</v>
      </c>
      <c r="J360" s="24"/>
      <c r="L360" s="1"/>
    </row>
    <row r="361" spans="2:13" x14ac:dyDescent="0.25">
      <c r="B361" s="181" t="s">
        <v>155</v>
      </c>
      <c r="C361" s="15">
        <f>IF(upper.limit,$I$341/$C$345,"")</f>
        <v>-0.1182684385595657</v>
      </c>
      <c r="J361" s="24"/>
      <c r="L361" s="1"/>
    </row>
    <row r="362" spans="2:13" x14ac:dyDescent="0.25">
      <c r="J362" s="24"/>
      <c r="L362" s="1"/>
    </row>
    <row r="363" spans="2:13" x14ac:dyDescent="0.25">
      <c r="B363" s="14" t="s">
        <v>11</v>
      </c>
      <c r="C363" t="str">
        <f>IF(upper.limit,"10^log(b)","")</f>
        <v>10^log(b)</v>
      </c>
      <c r="J363" s="24"/>
      <c r="L363" s="1"/>
    </row>
    <row r="364" spans="2:13" x14ac:dyDescent="0.25">
      <c r="B364" s="181" t="s">
        <v>155</v>
      </c>
      <c r="C364" s="15" t="str">
        <f>IF(upper.limit,"10^("&amp;TEXT($C$361,"#0.###0")&amp;")","")</f>
        <v>10^(-0.1183)</v>
      </c>
      <c r="J364" s="24"/>
      <c r="L364" s="1"/>
    </row>
    <row r="365" spans="2:13" x14ac:dyDescent="0.25">
      <c r="B365" s="181" t="s">
        <v>155</v>
      </c>
      <c r="C365" s="15">
        <f>IF(upper.limit,10^$C$361,"")</f>
        <v>0.7616081125348495</v>
      </c>
      <c r="D365" s="6"/>
      <c r="K365" s="24"/>
      <c r="L365" s="1"/>
    </row>
    <row r="366" spans="2:13" x14ac:dyDescent="0.25">
      <c r="B366" s="6"/>
      <c r="C366" s="6"/>
      <c r="D366" s="6"/>
      <c r="E366" s="6"/>
      <c r="F366" s="6"/>
      <c r="G366" s="6"/>
      <c r="K366" s="24"/>
      <c r="L366" s="24"/>
      <c r="M366" s="1"/>
    </row>
    <row r="367" spans="2:13" ht="15.75" x14ac:dyDescent="0.25">
      <c r="B367" s="41" t="s">
        <v>70</v>
      </c>
      <c r="F367" s="6"/>
      <c r="G367" s="6"/>
      <c r="K367" s="24"/>
      <c r="L367" s="24"/>
      <c r="M367" s="1"/>
    </row>
    <row r="368" spans="2:13" ht="15.75" x14ac:dyDescent="0.25">
      <c r="B368" s="42" t="str">
        <f>IF(upper.limit,Label,"")</f>
        <v>DeKalb County Population, 1900 to 2040</v>
      </c>
      <c r="C368" s="6"/>
      <c r="K368" s="24"/>
      <c r="L368" s="24"/>
      <c r="M368" s="1"/>
    </row>
    <row r="369" spans="2:13" x14ac:dyDescent="0.25">
      <c r="K369" s="24"/>
      <c r="L369" s="24"/>
      <c r="M369" s="1"/>
    </row>
    <row r="370" spans="2:13" ht="15.75" thickBot="1" x14ac:dyDescent="0.3">
      <c r="F370" s="24"/>
      <c r="G370" s="24"/>
      <c r="K370" s="24"/>
      <c r="L370" s="24"/>
    </row>
    <row r="371" spans="2:13" x14ac:dyDescent="0.25">
      <c r="B371" s="29" t="s">
        <v>163</v>
      </c>
      <c r="C371" s="19" t="s">
        <v>40</v>
      </c>
      <c r="D371" s="19" t="s">
        <v>38</v>
      </c>
      <c r="E371" s="19" t="s">
        <v>76</v>
      </c>
      <c r="F371" s="19" t="s">
        <v>14</v>
      </c>
      <c r="G371" s="20" t="s">
        <v>131</v>
      </c>
      <c r="H371" s="24"/>
      <c r="I371" s="24"/>
      <c r="M371" s="24"/>
    </row>
    <row r="372" spans="2:13" x14ac:dyDescent="0.25">
      <c r="B372" s="31" t="s">
        <v>2</v>
      </c>
      <c r="C372" s="4" t="s">
        <v>3</v>
      </c>
      <c r="D372" s="43" t="s">
        <v>4</v>
      </c>
      <c r="E372" s="43" t="s">
        <v>5</v>
      </c>
      <c r="F372" s="194" t="s">
        <v>6</v>
      </c>
      <c r="G372" s="195" t="s">
        <v>24</v>
      </c>
      <c r="H372" s="24"/>
      <c r="I372" s="11"/>
    </row>
    <row r="373" spans="2:13" x14ac:dyDescent="0.25">
      <c r="B373" s="26" t="str">
        <f t="shared" ref="B373:B397" si="27">IF(C373="","",IF(C373=base.year,1,B372+1))</f>
        <v/>
      </c>
      <c r="C373" s="2" t="str">
        <f>IF(upper.limit,F6,"")</f>
        <v/>
      </c>
      <c r="D373" s="2" t="str">
        <f>IF(upper.limit,I6,"")</f>
        <v/>
      </c>
      <c r="E373" s="197" t="str">
        <f>IF(C373="","",$C$402-($C$399*$C$400^D373))</f>
        <v/>
      </c>
      <c r="F373" s="168" t="str">
        <f t="shared" ref="F373:F397" si="28">IF(C373="","",ROUND(10^E373,3))</f>
        <v/>
      </c>
      <c r="G373" s="100" t="str">
        <f t="shared" ref="G373:G397" si="29">IF(C373="","",limit)</f>
        <v/>
      </c>
      <c r="H373" s="24"/>
      <c r="I373" s="11"/>
    </row>
    <row r="374" spans="2:13" x14ac:dyDescent="0.25">
      <c r="B374" s="33" t="str">
        <f t="shared" si="27"/>
        <v/>
      </c>
      <c r="C374" s="3" t="str">
        <f>IF(upper.limit,F7,"")</f>
        <v/>
      </c>
      <c r="D374" s="3" t="str">
        <f>IF(upper.limit,I7,"")</f>
        <v/>
      </c>
      <c r="E374" s="198" t="str">
        <f t="shared" ref="E374:E397" si="30">IF(C374="","",$C$402-($C$399*$C$400^D374))</f>
        <v/>
      </c>
      <c r="F374" s="49" t="str">
        <f t="shared" si="28"/>
        <v/>
      </c>
      <c r="G374" s="48" t="str">
        <f t="shared" si="29"/>
        <v/>
      </c>
      <c r="H374" s="24"/>
      <c r="I374" s="11"/>
    </row>
    <row r="375" spans="2:13" x14ac:dyDescent="0.25">
      <c r="B375" s="33" t="str">
        <f t="shared" si="27"/>
        <v/>
      </c>
      <c r="C375" s="3" t="str">
        <f>IF(upper.limit,F8,"")</f>
        <v/>
      </c>
      <c r="D375" s="3" t="str">
        <f>IF(upper.limit,I8,"")</f>
        <v/>
      </c>
      <c r="E375" s="198" t="str">
        <f t="shared" si="30"/>
        <v/>
      </c>
      <c r="F375" s="49" t="str">
        <f t="shared" si="28"/>
        <v/>
      </c>
      <c r="G375" s="48" t="str">
        <f t="shared" si="29"/>
        <v/>
      </c>
      <c r="H375" s="24"/>
      <c r="I375" s="11"/>
    </row>
    <row r="376" spans="2:13" x14ac:dyDescent="0.25">
      <c r="B376" s="33" t="str">
        <f t="shared" si="27"/>
        <v/>
      </c>
      <c r="C376" s="3" t="str">
        <f>IF(upper.limit,F9,"")</f>
        <v/>
      </c>
      <c r="D376" s="3" t="str">
        <f>IF(upper.limit,I9,"")</f>
        <v/>
      </c>
      <c r="E376" s="198" t="str">
        <f t="shared" si="30"/>
        <v/>
      </c>
      <c r="F376" s="49" t="str">
        <f t="shared" si="28"/>
        <v/>
      </c>
      <c r="G376" s="48" t="str">
        <f t="shared" si="29"/>
        <v/>
      </c>
      <c r="I376" s="11"/>
      <c r="L376" s="24"/>
      <c r="M376" s="24"/>
    </row>
    <row r="377" spans="2:13" x14ac:dyDescent="0.25">
      <c r="B377" s="33" t="str">
        <f t="shared" si="27"/>
        <v/>
      </c>
      <c r="C377" s="3" t="str">
        <f>IF(upper.limit,F10,"")</f>
        <v/>
      </c>
      <c r="D377" s="3" t="str">
        <f>IF(upper.limit,I10,"")</f>
        <v/>
      </c>
      <c r="E377" s="198" t="str">
        <f t="shared" si="30"/>
        <v/>
      </c>
      <c r="F377" s="49" t="str">
        <f t="shared" si="28"/>
        <v/>
      </c>
      <c r="G377" s="48" t="str">
        <f t="shared" si="29"/>
        <v/>
      </c>
      <c r="I377" s="11"/>
      <c r="L377" s="24"/>
      <c r="M377" s="24"/>
    </row>
    <row r="378" spans="2:13" x14ac:dyDescent="0.25">
      <c r="B378" s="33" t="str">
        <f t="shared" si="27"/>
        <v/>
      </c>
      <c r="C378" s="3" t="str">
        <f>IF(upper.limit,F11,"")</f>
        <v/>
      </c>
      <c r="D378" s="3" t="str">
        <f>IF(upper.limit,I11,"")</f>
        <v/>
      </c>
      <c r="E378" s="198" t="str">
        <f t="shared" si="30"/>
        <v/>
      </c>
      <c r="F378" s="49" t="str">
        <f t="shared" si="28"/>
        <v/>
      </c>
      <c r="G378" s="48" t="str">
        <f t="shared" si="29"/>
        <v/>
      </c>
      <c r="M378" s="24"/>
    </row>
    <row r="379" spans="2:13" x14ac:dyDescent="0.25">
      <c r="B379" s="33" t="str">
        <f t="shared" si="27"/>
        <v/>
      </c>
      <c r="C379" s="3" t="str">
        <f>IF(upper.limit,F12,"")</f>
        <v/>
      </c>
      <c r="D379" s="3" t="str">
        <f>IF(upper.limit,I12,"")</f>
        <v/>
      </c>
      <c r="E379" s="198" t="str">
        <f t="shared" si="30"/>
        <v/>
      </c>
      <c r="F379" s="49" t="str">
        <f t="shared" si="28"/>
        <v/>
      </c>
      <c r="G379" s="48" t="str">
        <f t="shared" si="29"/>
        <v/>
      </c>
    </row>
    <row r="380" spans="2:13" x14ac:dyDescent="0.25">
      <c r="B380" s="33" t="str">
        <f t="shared" si="27"/>
        <v/>
      </c>
      <c r="C380" s="3" t="str">
        <f>IF(upper.limit,F13,"")</f>
        <v/>
      </c>
      <c r="D380" s="3" t="str">
        <f>IF(upper.limit,I13,"")</f>
        <v/>
      </c>
      <c r="E380" s="198" t="str">
        <f t="shared" si="30"/>
        <v/>
      </c>
      <c r="F380" s="49" t="str">
        <f t="shared" si="28"/>
        <v/>
      </c>
      <c r="G380" s="48" t="str">
        <f t="shared" si="29"/>
        <v/>
      </c>
    </row>
    <row r="381" spans="2:13" x14ac:dyDescent="0.25">
      <c r="B381" s="33" t="str">
        <f t="shared" si="27"/>
        <v/>
      </c>
      <c r="C381" s="3" t="str">
        <f>IF(upper.limit,F14,"")</f>
        <v/>
      </c>
      <c r="D381" s="3" t="str">
        <f>IF(upper.limit,I14,"")</f>
        <v/>
      </c>
      <c r="E381" s="198" t="str">
        <f t="shared" si="30"/>
        <v/>
      </c>
      <c r="F381" s="49" t="str">
        <f t="shared" si="28"/>
        <v/>
      </c>
      <c r="G381" s="48" t="str">
        <f t="shared" si="29"/>
        <v/>
      </c>
    </row>
    <row r="382" spans="2:13" x14ac:dyDescent="0.25">
      <c r="B382" s="33">
        <f t="shared" si="27"/>
        <v>1</v>
      </c>
      <c r="C382" s="3">
        <f>IF(upper.limit,F15,"")</f>
        <v>1990</v>
      </c>
      <c r="D382" s="3">
        <f>IF(upper.limit,I15,"")</f>
        <v>-1</v>
      </c>
      <c r="E382" s="198">
        <f t="shared" si="30"/>
        <v>2.7499223694070603</v>
      </c>
      <c r="F382" s="49">
        <f t="shared" si="28"/>
        <v>562.24099999999999</v>
      </c>
      <c r="G382" s="48">
        <f t="shared" si="29"/>
        <v>960</v>
      </c>
    </row>
    <row r="383" spans="2:13" x14ac:dyDescent="0.25">
      <c r="B383" s="33">
        <f t="shared" si="27"/>
        <v>2</v>
      </c>
      <c r="C383" s="3">
        <f>IF(upper.limit,F16,"")</f>
        <v>2000</v>
      </c>
      <c r="D383" s="3">
        <f>IF(upper.limit,I16,"")</f>
        <v>0</v>
      </c>
      <c r="E383" s="198">
        <f t="shared" si="30"/>
        <v>2.805312453558797</v>
      </c>
      <c r="F383" s="49">
        <f t="shared" si="28"/>
        <v>638.72299999999996</v>
      </c>
      <c r="G383" s="48">
        <f t="shared" si="29"/>
        <v>960</v>
      </c>
    </row>
    <row r="384" spans="2:13" x14ac:dyDescent="0.25">
      <c r="B384" s="33">
        <f t="shared" si="27"/>
        <v>3</v>
      </c>
      <c r="C384" s="3">
        <f>IF(upper.limit,F17,"")</f>
        <v>2010</v>
      </c>
      <c r="D384" s="3">
        <f>IF(upper.limit,I17,"")</f>
        <v>1</v>
      </c>
      <c r="E384" s="198">
        <f t="shared" si="30"/>
        <v>2.8474979910027471</v>
      </c>
      <c r="F384" s="49">
        <f t="shared" si="28"/>
        <v>703.87900000000002</v>
      </c>
      <c r="G384" s="48">
        <f t="shared" si="29"/>
        <v>960</v>
      </c>
    </row>
    <row r="385" spans="2:13" x14ac:dyDescent="0.25">
      <c r="B385" s="33">
        <f t="shared" si="27"/>
        <v>4</v>
      </c>
      <c r="C385" s="3">
        <f>IF(upper.limit,F18,"")</f>
        <v>2020</v>
      </c>
      <c r="D385" s="3">
        <f>IF(upper.limit,I18,"")</f>
        <v>2</v>
      </c>
      <c r="E385" s="198">
        <f t="shared" si="30"/>
        <v>2.8796268385517028</v>
      </c>
      <c r="F385" s="49">
        <f t="shared" si="28"/>
        <v>757.92600000000004</v>
      </c>
      <c r="G385" s="48">
        <f t="shared" si="29"/>
        <v>960</v>
      </c>
    </row>
    <row r="386" spans="2:13" x14ac:dyDescent="0.25">
      <c r="B386" s="33">
        <f t="shared" si="27"/>
        <v>5</v>
      </c>
      <c r="C386" s="3">
        <f>IF(upper.limit,F19,"")</f>
        <v>2030</v>
      </c>
      <c r="D386" s="3">
        <f>IF(upper.limit,I19,"")</f>
        <v>3</v>
      </c>
      <c r="E386" s="198">
        <f t="shared" si="30"/>
        <v>2.9040964294913825</v>
      </c>
      <c r="F386" s="49">
        <f t="shared" si="28"/>
        <v>801.85599999999999</v>
      </c>
      <c r="G386" s="48">
        <f t="shared" si="29"/>
        <v>960</v>
      </c>
    </row>
    <row r="387" spans="2:13" x14ac:dyDescent="0.25">
      <c r="B387" s="33">
        <f t="shared" si="27"/>
        <v>6</v>
      </c>
      <c r="C387" s="3">
        <f>IF(upper.limit,F20,"")</f>
        <v>2040</v>
      </c>
      <c r="D387" s="3">
        <f>IF(upper.limit,I20,"")</f>
        <v>4</v>
      </c>
      <c r="E387" s="198">
        <f t="shared" si="30"/>
        <v>2.9227326684614519</v>
      </c>
      <c r="F387" s="49">
        <f t="shared" si="28"/>
        <v>837.01400000000001</v>
      </c>
      <c r="G387" s="48">
        <f t="shared" si="29"/>
        <v>960</v>
      </c>
    </row>
    <row r="388" spans="2:13" x14ac:dyDescent="0.25">
      <c r="B388" s="33" t="str">
        <f t="shared" si="27"/>
        <v/>
      </c>
      <c r="C388" s="3" t="str">
        <f>IF(upper.limit,F21,"")</f>
        <v/>
      </c>
      <c r="D388" s="3" t="str">
        <f>IF(upper.limit,I21,"")</f>
        <v/>
      </c>
      <c r="E388" s="198" t="str">
        <f t="shared" si="30"/>
        <v/>
      </c>
      <c r="F388" s="49" t="str">
        <f t="shared" si="28"/>
        <v/>
      </c>
      <c r="G388" s="48" t="str">
        <f t="shared" si="29"/>
        <v/>
      </c>
    </row>
    <row r="389" spans="2:13" x14ac:dyDescent="0.25">
      <c r="B389" s="33" t="str">
        <f t="shared" si="27"/>
        <v/>
      </c>
      <c r="C389" s="3" t="str">
        <f>IF(upper.limit,F22,"")</f>
        <v/>
      </c>
      <c r="D389" s="3" t="str">
        <f>IF(upper.limit,I22,"")</f>
        <v/>
      </c>
      <c r="E389" s="198" t="str">
        <f t="shared" si="30"/>
        <v/>
      </c>
      <c r="F389" s="49" t="str">
        <f t="shared" si="28"/>
        <v/>
      </c>
      <c r="G389" s="48" t="str">
        <f t="shared" si="29"/>
        <v/>
      </c>
    </row>
    <row r="390" spans="2:13" x14ac:dyDescent="0.25">
      <c r="B390" s="33" t="str">
        <f t="shared" si="27"/>
        <v/>
      </c>
      <c r="C390" s="3" t="str">
        <f>IF(upper.limit,F23,"")</f>
        <v/>
      </c>
      <c r="D390" s="3" t="str">
        <f>IF(upper.limit,I23,"")</f>
        <v/>
      </c>
      <c r="E390" s="198" t="str">
        <f t="shared" si="30"/>
        <v/>
      </c>
      <c r="F390" s="49" t="str">
        <f t="shared" si="28"/>
        <v/>
      </c>
      <c r="G390" s="48" t="str">
        <f t="shared" si="29"/>
        <v/>
      </c>
    </row>
    <row r="391" spans="2:13" x14ac:dyDescent="0.25">
      <c r="B391" s="33" t="str">
        <f t="shared" si="27"/>
        <v/>
      </c>
      <c r="C391" s="3" t="str">
        <f>IF(upper.limit,F24,"")</f>
        <v/>
      </c>
      <c r="D391" s="3" t="str">
        <f>IF(upper.limit,I24,"")</f>
        <v/>
      </c>
      <c r="E391" s="198" t="str">
        <f t="shared" si="30"/>
        <v/>
      </c>
      <c r="F391" s="49" t="str">
        <f t="shared" si="28"/>
        <v/>
      </c>
      <c r="G391" s="48" t="str">
        <f t="shared" si="29"/>
        <v/>
      </c>
    </row>
    <row r="392" spans="2:13" x14ac:dyDescent="0.25">
      <c r="B392" s="33" t="str">
        <f t="shared" si="27"/>
        <v/>
      </c>
      <c r="C392" s="3" t="str">
        <f>IF(upper.limit,F25,"")</f>
        <v/>
      </c>
      <c r="D392" s="3" t="str">
        <f>IF(upper.limit,I25,"")</f>
        <v/>
      </c>
      <c r="E392" s="198" t="str">
        <f t="shared" si="30"/>
        <v/>
      </c>
      <c r="F392" s="49" t="str">
        <f t="shared" si="28"/>
        <v/>
      </c>
      <c r="G392" s="48" t="str">
        <f t="shared" si="29"/>
        <v/>
      </c>
    </row>
    <row r="393" spans="2:13" x14ac:dyDescent="0.25">
      <c r="B393" s="33" t="str">
        <f t="shared" si="27"/>
        <v/>
      </c>
      <c r="C393" s="3" t="str">
        <f>IF(upper.limit,F26,"")</f>
        <v/>
      </c>
      <c r="D393" s="3" t="str">
        <f>IF(upper.limit,I26,"")</f>
        <v/>
      </c>
      <c r="E393" s="198" t="str">
        <f t="shared" si="30"/>
        <v/>
      </c>
      <c r="F393" s="49" t="str">
        <f t="shared" si="28"/>
        <v/>
      </c>
      <c r="G393" s="48" t="str">
        <f t="shared" si="29"/>
        <v/>
      </c>
    </row>
    <row r="394" spans="2:13" x14ac:dyDescent="0.25">
      <c r="B394" s="33" t="str">
        <f t="shared" si="27"/>
        <v/>
      </c>
      <c r="C394" s="3" t="str">
        <f>IF(upper.limit,F27,"")</f>
        <v/>
      </c>
      <c r="D394" s="3" t="str">
        <f>IF(upper.limit,I27,"")</f>
        <v/>
      </c>
      <c r="E394" s="198" t="str">
        <f t="shared" si="30"/>
        <v/>
      </c>
      <c r="F394" s="49" t="str">
        <f t="shared" si="28"/>
        <v/>
      </c>
      <c r="G394" s="48" t="str">
        <f t="shared" si="29"/>
        <v/>
      </c>
    </row>
    <row r="395" spans="2:13" x14ac:dyDescent="0.25">
      <c r="B395" s="33" t="str">
        <f t="shared" si="27"/>
        <v/>
      </c>
      <c r="C395" s="3" t="str">
        <f>IF(upper.limit,F28,"")</f>
        <v/>
      </c>
      <c r="D395" s="3" t="str">
        <f>IF(upper.limit,I28,"")</f>
        <v/>
      </c>
      <c r="E395" s="198" t="str">
        <f t="shared" si="30"/>
        <v/>
      </c>
      <c r="F395" s="49" t="str">
        <f t="shared" si="28"/>
        <v/>
      </c>
      <c r="G395" s="48" t="str">
        <f t="shared" si="29"/>
        <v/>
      </c>
    </row>
    <row r="396" spans="2:13" x14ac:dyDescent="0.25">
      <c r="B396" s="33" t="str">
        <f t="shared" si="27"/>
        <v/>
      </c>
      <c r="C396" s="3" t="str">
        <f>IF(upper.limit,F29,"")</f>
        <v/>
      </c>
      <c r="D396" s="3" t="str">
        <f>IF(upper.limit,I29,"")</f>
        <v/>
      </c>
      <c r="E396" s="198" t="str">
        <f t="shared" si="30"/>
        <v/>
      </c>
      <c r="F396" s="49" t="str">
        <f t="shared" si="28"/>
        <v/>
      </c>
      <c r="G396" s="48" t="str">
        <f t="shared" si="29"/>
        <v/>
      </c>
    </row>
    <row r="397" spans="2:13" ht="15.75" thickBot="1" x14ac:dyDescent="0.3">
      <c r="B397" s="30" t="str">
        <f t="shared" si="27"/>
        <v/>
      </c>
      <c r="C397" s="22" t="str">
        <f>IF(upper.limit,F30,"")</f>
        <v/>
      </c>
      <c r="D397" s="22" t="str">
        <f>IF(upper.limit,I30,"")</f>
        <v/>
      </c>
      <c r="E397" s="199" t="str">
        <f t="shared" si="30"/>
        <v/>
      </c>
      <c r="F397" s="101" t="str">
        <f t="shared" si="28"/>
        <v/>
      </c>
      <c r="G397" s="104" t="str">
        <f t="shared" si="29"/>
        <v/>
      </c>
    </row>
    <row r="398" spans="2:13" x14ac:dyDescent="0.25">
      <c r="B398" s="89"/>
      <c r="C398" s="24"/>
      <c r="D398" s="96"/>
      <c r="E398" s="88"/>
    </row>
    <row r="399" spans="2:13" x14ac:dyDescent="0.25">
      <c r="B399" s="86" t="s">
        <v>18</v>
      </c>
      <c r="C399" s="8">
        <f>IF(upper.limit,C353,"")</f>
        <v>0.17695877948077152</v>
      </c>
      <c r="K399" s="24"/>
      <c r="L399" s="24"/>
      <c r="M399" s="25"/>
    </row>
    <row r="400" spans="2:13" x14ac:dyDescent="0.25">
      <c r="B400" s="86" t="s">
        <v>13</v>
      </c>
      <c r="C400" s="8">
        <f>IF(upper.limit,C365,"")</f>
        <v>0.7616081125348495</v>
      </c>
      <c r="F400" s="24"/>
      <c r="G400" s="24"/>
      <c r="K400" s="24"/>
      <c r="L400" s="24"/>
      <c r="M400" s="25"/>
    </row>
    <row r="401" spans="2:13" x14ac:dyDescent="0.25">
      <c r="B401" s="57" t="s">
        <v>27</v>
      </c>
      <c r="C401" s="122">
        <f>IF(upper.limit,limit,"")</f>
        <v>960</v>
      </c>
      <c r="D401" s="86"/>
      <c r="E401" s="8"/>
      <c r="F401" s="24"/>
      <c r="G401" s="24"/>
      <c r="K401" s="24"/>
      <c r="L401" s="24"/>
      <c r="M401" s="25"/>
    </row>
    <row r="402" spans="2:13" x14ac:dyDescent="0.25">
      <c r="B402" s="7" t="s">
        <v>77</v>
      </c>
      <c r="C402" s="8">
        <f>IF(upper.limit,LOG(C401),"")</f>
        <v>2.9822712330395684</v>
      </c>
      <c r="D402" s="86"/>
      <c r="E402" s="90"/>
      <c r="F402" s="24"/>
      <c r="G402" s="24"/>
      <c r="K402" s="24"/>
      <c r="L402" s="24"/>
    </row>
    <row r="403" spans="2:13" x14ac:dyDescent="0.25">
      <c r="B403" s="7" t="s">
        <v>164</v>
      </c>
      <c r="C403" s="5">
        <f>IF(upper.limit,INDEX(B373:G397,index,3),"")</f>
        <v>-1</v>
      </c>
      <c r="D403" s="7"/>
      <c r="E403" s="13"/>
      <c r="F403" s="24"/>
      <c r="G403" s="24"/>
      <c r="K403" s="24"/>
      <c r="L403" s="24"/>
    </row>
    <row r="404" spans="2:13" x14ac:dyDescent="0.25">
      <c r="B404" s="7"/>
      <c r="C404" s="5"/>
      <c r="D404" s="7"/>
      <c r="E404" s="13"/>
      <c r="F404" s="24"/>
      <c r="G404" s="24"/>
      <c r="K404" s="24"/>
      <c r="L404" s="24"/>
    </row>
    <row r="405" spans="2:13" x14ac:dyDescent="0.25">
      <c r="B405" s="7" t="s">
        <v>165</v>
      </c>
      <c r="C405" s="18" t="str">
        <f>IF(upper.limit,"log  c - (log a)b^X{1}","")</f>
        <v>log  c - (log a)b^X{1}</v>
      </c>
      <c r="D405" s="7"/>
      <c r="E405" s="13"/>
      <c r="F405" s="24"/>
      <c r="G405" s="24"/>
      <c r="K405" s="24"/>
      <c r="L405" s="24"/>
    </row>
    <row r="406" spans="2:13" x14ac:dyDescent="0.25">
      <c r="B406" s="57" t="s">
        <v>155</v>
      </c>
      <c r="C406" s="196" t="str">
        <f>IF(upper.limit,TEXT($C$402,"#.###0")&amp;" - ("&amp;TEXT($C$399,"#.###0")&amp;")("&amp;TEXT($C$400,"#.###0")&amp;")^"&amp;TEXT(C403,"#,###"),"")</f>
        <v>2.9823 - (.1770)(.7616)^-1</v>
      </c>
      <c r="D406" s="7"/>
      <c r="E406" s="13"/>
      <c r="F406" s="24"/>
      <c r="G406" s="24"/>
      <c r="K406" s="24"/>
      <c r="L406" s="24"/>
    </row>
    <row r="407" spans="2:13" x14ac:dyDescent="0.25">
      <c r="B407" s="57" t="s">
        <v>155</v>
      </c>
      <c r="C407" s="196">
        <f>IF(upper.limit,$C$402-($C$399*(($C$400)^C403)),"")</f>
        <v>2.7499223694070603</v>
      </c>
      <c r="D407" s="7"/>
      <c r="E407" s="13"/>
      <c r="F407" s="24"/>
      <c r="G407" s="24"/>
      <c r="K407" s="24"/>
      <c r="L407" s="24"/>
    </row>
    <row r="408" spans="2:13" x14ac:dyDescent="0.25">
      <c r="B408" s="57"/>
      <c r="C408" s="18"/>
      <c r="D408" s="7"/>
      <c r="E408" s="13"/>
      <c r="F408" s="24"/>
      <c r="G408" s="24"/>
      <c r="K408" s="24"/>
      <c r="L408" s="24"/>
    </row>
    <row r="409" spans="2:13" x14ac:dyDescent="0.25">
      <c r="B409" s="57" t="s">
        <v>166</v>
      </c>
      <c r="C409" s="18" t="str">
        <f>IF(upper.limit,"10^(log Yc{1})","")</f>
        <v>10^(log Yc{1})</v>
      </c>
      <c r="D409" s="7"/>
      <c r="E409" s="13"/>
      <c r="F409" s="24"/>
      <c r="G409" s="24"/>
      <c r="K409" s="24"/>
      <c r="L409" s="24"/>
    </row>
    <row r="410" spans="2:13" x14ac:dyDescent="0.25">
      <c r="B410" s="57" t="s">
        <v>155</v>
      </c>
      <c r="C410" s="18" t="str">
        <f>IF(upper.limit,"10^"&amp;TEXT($C$407,"#.###0"),"")</f>
        <v>10^2.7499</v>
      </c>
      <c r="D410" s="7"/>
      <c r="E410" s="13"/>
      <c r="F410" s="24"/>
      <c r="G410" s="24"/>
      <c r="K410" s="24"/>
      <c r="L410" s="24"/>
    </row>
    <row r="411" spans="2:13" x14ac:dyDescent="0.25">
      <c r="B411" s="57" t="s">
        <v>155</v>
      </c>
      <c r="C411" s="90">
        <f>IF(upper.limit,10^$C$407,"")</f>
        <v>562.2408150736386</v>
      </c>
      <c r="D411" s="7"/>
      <c r="E411" s="13"/>
      <c r="F411" s="24"/>
      <c r="G411" s="24"/>
      <c r="K411" s="24"/>
      <c r="L411" s="24"/>
    </row>
    <row r="412" spans="2:13" x14ac:dyDescent="0.25">
      <c r="B412" s="5"/>
      <c r="C412" s="18"/>
      <c r="D412" s="7"/>
      <c r="E412" s="13"/>
      <c r="F412" s="24"/>
      <c r="G412" s="24"/>
      <c r="K412" s="24"/>
      <c r="L412" s="24"/>
    </row>
    <row r="413" spans="2:13" ht="15.75" x14ac:dyDescent="0.25">
      <c r="B413" s="41" t="s">
        <v>87</v>
      </c>
    </row>
    <row r="415" spans="2:13" x14ac:dyDescent="0.25">
      <c r="B415" s="5" t="s">
        <v>82</v>
      </c>
      <c r="C415" s="154" t="str">
        <f>IF(upper.limit,"",limit)</f>
        <v/>
      </c>
      <c r="D415" s="18"/>
    </row>
    <row r="416" spans="2:13" ht="15.75" thickBot="1" x14ac:dyDescent="0.3">
      <c r="B416" s="5"/>
      <c r="D416" s="18"/>
    </row>
    <row r="417" spans="2:9" x14ac:dyDescent="0.25">
      <c r="B417" s="29" t="s">
        <v>66</v>
      </c>
      <c r="C417" s="19" t="s">
        <v>67</v>
      </c>
      <c r="D417" s="19" t="s">
        <v>17</v>
      </c>
      <c r="E417" s="19" t="s">
        <v>74</v>
      </c>
      <c r="F417" s="19" t="s">
        <v>88</v>
      </c>
      <c r="G417" s="19" t="s">
        <v>89</v>
      </c>
      <c r="H417" s="19" t="s">
        <v>68</v>
      </c>
      <c r="I417" s="20" t="s">
        <v>90</v>
      </c>
    </row>
    <row r="418" spans="2:9" x14ac:dyDescent="0.25">
      <c r="B418" s="31" t="s">
        <v>2</v>
      </c>
      <c r="C418" s="4" t="s">
        <v>3</v>
      </c>
      <c r="D418" s="4" t="s">
        <v>4</v>
      </c>
      <c r="E418" s="4" t="s">
        <v>5</v>
      </c>
      <c r="F418" s="4" t="s">
        <v>6</v>
      </c>
      <c r="G418" s="43" t="s">
        <v>25</v>
      </c>
      <c r="H418" s="43" t="s">
        <v>47</v>
      </c>
      <c r="I418" s="44" t="s">
        <v>56</v>
      </c>
    </row>
    <row r="419" spans="2:9" x14ac:dyDescent="0.25">
      <c r="B419" s="33" t="str">
        <f>IF(upper.limit,"",E6)</f>
        <v/>
      </c>
      <c r="C419" s="49" t="str">
        <f>IF(upper.limit,"",G6)</f>
        <v/>
      </c>
      <c r="D419" s="186" t="str">
        <f t="shared" ref="D419:D443" si="31">IF(B419="","",LOG(C419))</f>
        <v/>
      </c>
      <c r="E419" s="186" t="str">
        <f t="shared" ref="E419:E443" si="32">IF(B419="","",LOG($C$415))</f>
        <v/>
      </c>
      <c r="F419" s="186" t="str">
        <f t="shared" ref="F419:F443" si="33">IF(B419="","",D419-E419)</f>
        <v/>
      </c>
      <c r="G419" s="186" t="str">
        <f t="shared" ref="G419:G443" si="34">IF(B419="","",LOG(F419))</f>
        <v/>
      </c>
      <c r="H419" s="3" t="str">
        <f>IF(upper.limit,"",H6)</f>
        <v/>
      </c>
      <c r="I419" s="87" t="str">
        <f t="shared" ref="I419:I443" si="35">IF(B419="","",G419*H419)</f>
        <v/>
      </c>
    </row>
    <row r="420" spans="2:9" x14ac:dyDescent="0.25">
      <c r="B420" s="33" t="str">
        <f>IF(upper.limit,"",E7)</f>
        <v/>
      </c>
      <c r="C420" s="49" t="str">
        <f>IF(upper.limit,"",G7)</f>
        <v/>
      </c>
      <c r="D420" s="186" t="str">
        <f t="shared" si="31"/>
        <v/>
      </c>
      <c r="E420" s="186" t="str">
        <f t="shared" si="32"/>
        <v/>
      </c>
      <c r="F420" s="186" t="str">
        <f t="shared" si="33"/>
        <v/>
      </c>
      <c r="G420" s="186" t="str">
        <f t="shared" si="34"/>
        <v/>
      </c>
      <c r="H420" s="3" t="str">
        <f>IF(upper.limit,"",H7)</f>
        <v/>
      </c>
      <c r="I420" s="87" t="str">
        <f t="shared" si="35"/>
        <v/>
      </c>
    </row>
    <row r="421" spans="2:9" x14ac:dyDescent="0.25">
      <c r="B421" s="33" t="str">
        <f>IF(upper.limit,"",E8)</f>
        <v/>
      </c>
      <c r="C421" s="49" t="str">
        <f>IF(upper.limit,"",G8)</f>
        <v/>
      </c>
      <c r="D421" s="186" t="str">
        <f t="shared" si="31"/>
        <v/>
      </c>
      <c r="E421" s="186" t="str">
        <f t="shared" si="32"/>
        <v/>
      </c>
      <c r="F421" s="186" t="str">
        <f t="shared" si="33"/>
        <v/>
      </c>
      <c r="G421" s="186" t="str">
        <f t="shared" si="34"/>
        <v/>
      </c>
      <c r="H421" s="3" t="str">
        <f>IF(upper.limit,"",H8)</f>
        <v/>
      </c>
      <c r="I421" s="87" t="str">
        <f t="shared" si="35"/>
        <v/>
      </c>
    </row>
    <row r="422" spans="2:9" x14ac:dyDescent="0.25">
      <c r="B422" s="33" t="str">
        <f>IF(upper.limit,"",E9)</f>
        <v/>
      </c>
      <c r="C422" s="49" t="str">
        <f>IF(upper.limit,"",G9)</f>
        <v/>
      </c>
      <c r="D422" s="186" t="str">
        <f t="shared" si="31"/>
        <v/>
      </c>
      <c r="E422" s="186" t="str">
        <f t="shared" si="32"/>
        <v/>
      </c>
      <c r="F422" s="186" t="str">
        <f t="shared" si="33"/>
        <v/>
      </c>
      <c r="G422" s="186" t="str">
        <f t="shared" si="34"/>
        <v/>
      </c>
      <c r="H422" s="3" t="str">
        <f>IF(upper.limit,"",H9)</f>
        <v/>
      </c>
      <c r="I422" s="87" t="str">
        <f t="shared" si="35"/>
        <v/>
      </c>
    </row>
    <row r="423" spans="2:9" x14ac:dyDescent="0.25">
      <c r="B423" s="33" t="str">
        <f>IF(upper.limit,"",E10)</f>
        <v/>
      </c>
      <c r="C423" s="49" t="str">
        <f>IF(upper.limit,"",G10)</f>
        <v/>
      </c>
      <c r="D423" s="186" t="str">
        <f t="shared" si="31"/>
        <v/>
      </c>
      <c r="E423" s="186" t="str">
        <f t="shared" si="32"/>
        <v/>
      </c>
      <c r="F423" s="186" t="str">
        <f t="shared" si="33"/>
        <v/>
      </c>
      <c r="G423" s="186" t="str">
        <f t="shared" si="34"/>
        <v/>
      </c>
      <c r="H423" s="3" t="str">
        <f>IF(upper.limit,"",H10)</f>
        <v/>
      </c>
      <c r="I423" s="87" t="str">
        <f t="shared" si="35"/>
        <v/>
      </c>
    </row>
    <row r="424" spans="2:9" x14ac:dyDescent="0.25">
      <c r="B424" s="33" t="str">
        <f>IF(upper.limit,"",E11)</f>
        <v/>
      </c>
      <c r="C424" s="49" t="str">
        <f>IF(upper.limit,"",G11)</f>
        <v/>
      </c>
      <c r="D424" s="186" t="str">
        <f t="shared" si="31"/>
        <v/>
      </c>
      <c r="E424" s="186" t="str">
        <f t="shared" si="32"/>
        <v/>
      </c>
      <c r="F424" s="186" t="str">
        <f t="shared" si="33"/>
        <v/>
      </c>
      <c r="G424" s="186" t="str">
        <f t="shared" si="34"/>
        <v/>
      </c>
      <c r="H424" s="3" t="str">
        <f>IF(upper.limit,"",H11)</f>
        <v/>
      </c>
      <c r="I424" s="87" t="str">
        <f t="shared" si="35"/>
        <v/>
      </c>
    </row>
    <row r="425" spans="2:9" x14ac:dyDescent="0.25">
      <c r="B425" s="33" t="str">
        <f>IF(upper.limit,"",E12)</f>
        <v/>
      </c>
      <c r="C425" s="49" t="str">
        <f>IF(upper.limit,"",G12)</f>
        <v/>
      </c>
      <c r="D425" s="186" t="str">
        <f t="shared" si="31"/>
        <v/>
      </c>
      <c r="E425" s="186" t="str">
        <f t="shared" si="32"/>
        <v/>
      </c>
      <c r="F425" s="186" t="str">
        <f t="shared" si="33"/>
        <v/>
      </c>
      <c r="G425" s="186" t="str">
        <f t="shared" si="34"/>
        <v/>
      </c>
      <c r="H425" s="3" t="str">
        <f>IF(upper.limit,"",H12)</f>
        <v/>
      </c>
      <c r="I425" s="87" t="str">
        <f t="shared" si="35"/>
        <v/>
      </c>
    </row>
    <row r="426" spans="2:9" x14ac:dyDescent="0.25">
      <c r="B426" s="33" t="str">
        <f>IF(upper.limit,"",E13)</f>
        <v/>
      </c>
      <c r="C426" s="49" t="str">
        <f>IF(upper.limit,"",G13)</f>
        <v/>
      </c>
      <c r="D426" s="186" t="str">
        <f t="shared" si="31"/>
        <v/>
      </c>
      <c r="E426" s="186" t="str">
        <f t="shared" si="32"/>
        <v/>
      </c>
      <c r="F426" s="186" t="str">
        <f t="shared" si="33"/>
        <v/>
      </c>
      <c r="G426" s="186" t="str">
        <f t="shared" si="34"/>
        <v/>
      </c>
      <c r="H426" s="3" t="str">
        <f>IF(upper.limit,"",H13)</f>
        <v/>
      </c>
      <c r="I426" s="87" t="str">
        <f t="shared" si="35"/>
        <v/>
      </c>
    </row>
    <row r="427" spans="2:9" x14ac:dyDescent="0.25">
      <c r="B427" s="33" t="str">
        <f>IF(upper.limit,"",E14)</f>
        <v/>
      </c>
      <c r="C427" s="49" t="str">
        <f>IF(upper.limit,"",G14)</f>
        <v/>
      </c>
      <c r="D427" s="186" t="str">
        <f t="shared" si="31"/>
        <v/>
      </c>
      <c r="E427" s="186" t="str">
        <f t="shared" si="32"/>
        <v/>
      </c>
      <c r="F427" s="186" t="str">
        <f t="shared" si="33"/>
        <v/>
      </c>
      <c r="G427" s="186" t="str">
        <f t="shared" si="34"/>
        <v/>
      </c>
      <c r="H427" s="3" t="str">
        <f>IF(upper.limit,"",H14)</f>
        <v/>
      </c>
      <c r="I427" s="87" t="str">
        <f t="shared" si="35"/>
        <v/>
      </c>
    </row>
    <row r="428" spans="2:9" x14ac:dyDescent="0.25">
      <c r="B428" s="33" t="str">
        <f>IF(upper.limit,"",E15)</f>
        <v/>
      </c>
      <c r="C428" s="49" t="str">
        <f>IF(upper.limit,"",G15)</f>
        <v/>
      </c>
      <c r="D428" s="186" t="str">
        <f t="shared" si="31"/>
        <v/>
      </c>
      <c r="E428" s="186" t="str">
        <f t="shared" si="32"/>
        <v/>
      </c>
      <c r="F428" s="186" t="str">
        <f t="shared" si="33"/>
        <v/>
      </c>
      <c r="G428" s="186" t="str">
        <f t="shared" si="34"/>
        <v/>
      </c>
      <c r="H428" s="3" t="str">
        <f>IF(upper.limit,"",H15)</f>
        <v/>
      </c>
      <c r="I428" s="87" t="str">
        <f t="shared" si="35"/>
        <v/>
      </c>
    </row>
    <row r="429" spans="2:9" x14ac:dyDescent="0.25">
      <c r="B429" s="33" t="str">
        <f>IF(upper.limit,"",E16)</f>
        <v/>
      </c>
      <c r="C429" s="49" t="str">
        <f>IF(upper.limit,"",G16)</f>
        <v/>
      </c>
      <c r="D429" s="186" t="str">
        <f t="shared" si="31"/>
        <v/>
      </c>
      <c r="E429" s="186" t="str">
        <f t="shared" si="32"/>
        <v/>
      </c>
      <c r="F429" s="186" t="str">
        <f t="shared" si="33"/>
        <v/>
      </c>
      <c r="G429" s="186" t="str">
        <f t="shared" si="34"/>
        <v/>
      </c>
      <c r="H429" s="3" t="str">
        <f>IF(upper.limit,"",H16)</f>
        <v/>
      </c>
      <c r="I429" s="87" t="str">
        <f t="shared" si="35"/>
        <v/>
      </c>
    </row>
    <row r="430" spans="2:9" x14ac:dyDescent="0.25">
      <c r="B430" s="33" t="str">
        <f>IF(upper.limit,"",E17)</f>
        <v/>
      </c>
      <c r="C430" s="49" t="str">
        <f>IF(upper.limit,"",G17)</f>
        <v/>
      </c>
      <c r="D430" s="186" t="str">
        <f t="shared" si="31"/>
        <v/>
      </c>
      <c r="E430" s="186" t="str">
        <f t="shared" si="32"/>
        <v/>
      </c>
      <c r="F430" s="186" t="str">
        <f t="shared" si="33"/>
        <v/>
      </c>
      <c r="G430" s="186" t="str">
        <f t="shared" si="34"/>
        <v/>
      </c>
      <c r="H430" s="3" t="str">
        <f>IF(upper.limit,"",H17)</f>
        <v/>
      </c>
      <c r="I430" s="87" t="str">
        <f t="shared" si="35"/>
        <v/>
      </c>
    </row>
    <row r="431" spans="2:9" x14ac:dyDescent="0.25">
      <c r="B431" s="33" t="str">
        <f>IF(upper.limit,"",E18)</f>
        <v/>
      </c>
      <c r="C431" s="49" t="str">
        <f>IF(upper.limit,"",G18)</f>
        <v/>
      </c>
      <c r="D431" s="186" t="str">
        <f t="shared" si="31"/>
        <v/>
      </c>
      <c r="E431" s="186" t="str">
        <f t="shared" si="32"/>
        <v/>
      </c>
      <c r="F431" s="186" t="str">
        <f t="shared" si="33"/>
        <v/>
      </c>
      <c r="G431" s="186" t="str">
        <f t="shared" si="34"/>
        <v/>
      </c>
      <c r="H431" s="3" t="str">
        <f>IF(upper.limit,"",H18)</f>
        <v/>
      </c>
      <c r="I431" s="87" t="str">
        <f t="shared" si="35"/>
        <v/>
      </c>
    </row>
    <row r="432" spans="2:9" x14ac:dyDescent="0.25">
      <c r="B432" s="33" t="str">
        <f>IF(upper.limit,"",E19)</f>
        <v/>
      </c>
      <c r="C432" s="49" t="str">
        <f>IF(upper.limit,"",G19)</f>
        <v/>
      </c>
      <c r="D432" s="186" t="str">
        <f t="shared" si="31"/>
        <v/>
      </c>
      <c r="E432" s="186" t="str">
        <f t="shared" si="32"/>
        <v/>
      </c>
      <c r="F432" s="186" t="str">
        <f t="shared" si="33"/>
        <v/>
      </c>
      <c r="G432" s="186" t="str">
        <f t="shared" si="34"/>
        <v/>
      </c>
      <c r="H432" s="3" t="str">
        <f>IF(upper.limit,"",H19)</f>
        <v/>
      </c>
      <c r="I432" s="87" t="str">
        <f t="shared" si="35"/>
        <v/>
      </c>
    </row>
    <row r="433" spans="2:9" x14ac:dyDescent="0.25">
      <c r="B433" s="33" t="str">
        <f>IF(upper.limit,"",E20)</f>
        <v/>
      </c>
      <c r="C433" s="49" t="str">
        <f>IF(upper.limit,"",G20)</f>
        <v/>
      </c>
      <c r="D433" s="186" t="str">
        <f t="shared" si="31"/>
        <v/>
      </c>
      <c r="E433" s="186" t="str">
        <f t="shared" si="32"/>
        <v/>
      </c>
      <c r="F433" s="186" t="str">
        <f t="shared" si="33"/>
        <v/>
      </c>
      <c r="G433" s="186" t="str">
        <f t="shared" si="34"/>
        <v/>
      </c>
      <c r="H433" s="3" t="str">
        <f>IF(upper.limit,"",H20)</f>
        <v/>
      </c>
      <c r="I433" s="87" t="str">
        <f t="shared" si="35"/>
        <v/>
      </c>
    </row>
    <row r="434" spans="2:9" x14ac:dyDescent="0.25">
      <c r="B434" s="33" t="str">
        <f>IF(upper.limit,"",E21)</f>
        <v/>
      </c>
      <c r="C434" s="49" t="str">
        <f>IF(upper.limit,"",G21)</f>
        <v/>
      </c>
      <c r="D434" s="186" t="str">
        <f t="shared" si="31"/>
        <v/>
      </c>
      <c r="E434" s="186" t="str">
        <f t="shared" si="32"/>
        <v/>
      </c>
      <c r="F434" s="186" t="str">
        <f t="shared" si="33"/>
        <v/>
      </c>
      <c r="G434" s="186" t="str">
        <f t="shared" si="34"/>
        <v/>
      </c>
      <c r="H434" s="3" t="str">
        <f>IF(upper.limit,"",H21)</f>
        <v/>
      </c>
      <c r="I434" s="87" t="str">
        <f t="shared" si="35"/>
        <v/>
      </c>
    </row>
    <row r="435" spans="2:9" x14ac:dyDescent="0.25">
      <c r="B435" s="33" t="str">
        <f>IF(upper.limit,"",E22)</f>
        <v/>
      </c>
      <c r="C435" s="49" t="str">
        <f>IF(upper.limit,"",G22)</f>
        <v/>
      </c>
      <c r="D435" s="186" t="str">
        <f t="shared" si="31"/>
        <v/>
      </c>
      <c r="E435" s="186" t="str">
        <f t="shared" si="32"/>
        <v/>
      </c>
      <c r="F435" s="186" t="str">
        <f t="shared" si="33"/>
        <v/>
      </c>
      <c r="G435" s="186" t="str">
        <f t="shared" si="34"/>
        <v/>
      </c>
      <c r="H435" s="3" t="str">
        <f>IF(upper.limit,"",H22)</f>
        <v/>
      </c>
      <c r="I435" s="87" t="str">
        <f t="shared" si="35"/>
        <v/>
      </c>
    </row>
    <row r="436" spans="2:9" x14ac:dyDescent="0.25">
      <c r="B436" s="33" t="str">
        <f>IF(upper.limit,"",E23)</f>
        <v/>
      </c>
      <c r="C436" s="49" t="str">
        <f>IF(upper.limit,"",G23)</f>
        <v/>
      </c>
      <c r="D436" s="186" t="str">
        <f t="shared" si="31"/>
        <v/>
      </c>
      <c r="E436" s="186" t="str">
        <f t="shared" si="32"/>
        <v/>
      </c>
      <c r="F436" s="186" t="str">
        <f t="shared" si="33"/>
        <v/>
      </c>
      <c r="G436" s="186" t="str">
        <f t="shared" si="34"/>
        <v/>
      </c>
      <c r="H436" s="3" t="str">
        <f>IF(upper.limit,"",H23)</f>
        <v/>
      </c>
      <c r="I436" s="87" t="str">
        <f t="shared" si="35"/>
        <v/>
      </c>
    </row>
    <row r="437" spans="2:9" x14ac:dyDescent="0.25">
      <c r="B437" s="33" t="str">
        <f>IF(upper.limit,"",E24)</f>
        <v/>
      </c>
      <c r="C437" s="49" t="str">
        <f>IF(upper.limit,"",G24)</f>
        <v/>
      </c>
      <c r="D437" s="186" t="str">
        <f t="shared" si="31"/>
        <v/>
      </c>
      <c r="E437" s="186" t="str">
        <f t="shared" si="32"/>
        <v/>
      </c>
      <c r="F437" s="186" t="str">
        <f t="shared" si="33"/>
        <v/>
      </c>
      <c r="G437" s="186" t="str">
        <f t="shared" si="34"/>
        <v/>
      </c>
      <c r="H437" s="3" t="str">
        <f>IF(upper.limit,"",H24)</f>
        <v/>
      </c>
      <c r="I437" s="87" t="str">
        <f t="shared" si="35"/>
        <v/>
      </c>
    </row>
    <row r="438" spans="2:9" x14ac:dyDescent="0.25">
      <c r="B438" s="33" t="str">
        <f>IF(upper.limit,"",E25)</f>
        <v/>
      </c>
      <c r="C438" s="49" t="str">
        <f>IF(upper.limit,"",G25)</f>
        <v/>
      </c>
      <c r="D438" s="186" t="str">
        <f t="shared" si="31"/>
        <v/>
      </c>
      <c r="E438" s="186" t="str">
        <f t="shared" si="32"/>
        <v/>
      </c>
      <c r="F438" s="186" t="str">
        <f t="shared" si="33"/>
        <v/>
      </c>
      <c r="G438" s="186" t="str">
        <f t="shared" si="34"/>
        <v/>
      </c>
      <c r="H438" s="3" t="str">
        <f>IF(upper.limit,"",H25)</f>
        <v/>
      </c>
      <c r="I438" s="87" t="str">
        <f t="shared" si="35"/>
        <v/>
      </c>
    </row>
    <row r="439" spans="2:9" x14ac:dyDescent="0.25">
      <c r="B439" s="33" t="str">
        <f>IF(upper.limit,"",E26)</f>
        <v/>
      </c>
      <c r="C439" s="49" t="str">
        <f>IF(upper.limit,"",G26)</f>
        <v/>
      </c>
      <c r="D439" s="186" t="str">
        <f t="shared" si="31"/>
        <v/>
      </c>
      <c r="E439" s="186" t="str">
        <f t="shared" si="32"/>
        <v/>
      </c>
      <c r="F439" s="186" t="str">
        <f t="shared" si="33"/>
        <v/>
      </c>
      <c r="G439" s="186" t="str">
        <f t="shared" si="34"/>
        <v/>
      </c>
      <c r="H439" s="3" t="str">
        <f>IF(upper.limit,"",H26)</f>
        <v/>
      </c>
      <c r="I439" s="87" t="str">
        <f t="shared" si="35"/>
        <v/>
      </c>
    </row>
    <row r="440" spans="2:9" x14ac:dyDescent="0.25">
      <c r="B440" s="33" t="str">
        <f>IF(upper.limit,"",E27)</f>
        <v/>
      </c>
      <c r="C440" s="49" t="str">
        <f>IF(upper.limit,"",G27)</f>
        <v/>
      </c>
      <c r="D440" s="186" t="str">
        <f t="shared" si="31"/>
        <v/>
      </c>
      <c r="E440" s="186" t="str">
        <f t="shared" si="32"/>
        <v/>
      </c>
      <c r="F440" s="186" t="str">
        <f t="shared" si="33"/>
        <v/>
      </c>
      <c r="G440" s="186" t="str">
        <f t="shared" si="34"/>
        <v/>
      </c>
      <c r="H440" s="3" t="str">
        <f>IF(upper.limit,"",H27)</f>
        <v/>
      </c>
      <c r="I440" s="87" t="str">
        <f t="shared" si="35"/>
        <v/>
      </c>
    </row>
    <row r="441" spans="2:9" x14ac:dyDescent="0.25">
      <c r="B441" s="33" t="str">
        <f>IF(upper.limit,"",E28)</f>
        <v/>
      </c>
      <c r="C441" s="49" t="str">
        <f>IF(upper.limit,"",G28)</f>
        <v/>
      </c>
      <c r="D441" s="186" t="str">
        <f t="shared" si="31"/>
        <v/>
      </c>
      <c r="E441" s="186" t="str">
        <f t="shared" si="32"/>
        <v/>
      </c>
      <c r="F441" s="186" t="str">
        <f t="shared" si="33"/>
        <v/>
      </c>
      <c r="G441" s="186" t="str">
        <f t="shared" si="34"/>
        <v/>
      </c>
      <c r="H441" s="3" t="str">
        <f>IF(upper.limit,"",H28)</f>
        <v/>
      </c>
      <c r="I441" s="87" t="str">
        <f t="shared" si="35"/>
        <v/>
      </c>
    </row>
    <row r="442" spans="2:9" x14ac:dyDescent="0.25">
      <c r="B442" s="33" t="str">
        <f>IF(upper.limit,"",E29)</f>
        <v/>
      </c>
      <c r="C442" s="49" t="str">
        <f>IF(upper.limit,"",G29)</f>
        <v/>
      </c>
      <c r="D442" s="186" t="str">
        <f t="shared" si="31"/>
        <v/>
      </c>
      <c r="E442" s="186" t="str">
        <f t="shared" si="32"/>
        <v/>
      </c>
      <c r="F442" s="186" t="str">
        <f t="shared" si="33"/>
        <v/>
      </c>
      <c r="G442" s="186" t="str">
        <f t="shared" si="34"/>
        <v/>
      </c>
      <c r="H442" s="3" t="str">
        <f>IF(upper.limit,"",H28)</f>
        <v/>
      </c>
      <c r="I442" s="87" t="str">
        <f t="shared" si="35"/>
        <v/>
      </c>
    </row>
    <row r="443" spans="2:9" ht="15.75" thickBot="1" x14ac:dyDescent="0.3">
      <c r="B443" s="30" t="str">
        <f>IF(upper.limit,"",E29)</f>
        <v/>
      </c>
      <c r="C443" s="101" t="str">
        <f>IF(upper.limit,"",G29)</f>
        <v/>
      </c>
      <c r="D443" s="192" t="str">
        <f t="shared" si="31"/>
        <v/>
      </c>
      <c r="E443" s="192" t="str">
        <f t="shared" si="32"/>
        <v/>
      </c>
      <c r="F443" s="192" t="str">
        <f t="shared" si="33"/>
        <v/>
      </c>
      <c r="G443" s="192" t="str">
        <f t="shared" si="34"/>
        <v/>
      </c>
      <c r="H443" s="22" t="str">
        <f>IF(upper.limit,"",H29)</f>
        <v/>
      </c>
      <c r="I443" s="139" t="str">
        <f t="shared" si="35"/>
        <v/>
      </c>
    </row>
    <row r="444" spans="2:9" ht="15.75" thickBot="1" x14ac:dyDescent="0.3">
      <c r="B444" s="27" t="s">
        <v>7</v>
      </c>
      <c r="C444" s="28"/>
      <c r="D444" s="187"/>
      <c r="E444" s="187"/>
      <c r="F444" s="187"/>
      <c r="G444" s="188">
        <f>SUM(G419:G443)</f>
        <v>0</v>
      </c>
      <c r="H444" s="28"/>
      <c r="I444" s="188">
        <f>SUM(I419:I443)</f>
        <v>0</v>
      </c>
    </row>
    <row r="445" spans="2:9" x14ac:dyDescent="0.25">
      <c r="B445" s="24"/>
      <c r="C445" s="137"/>
      <c r="D445" s="11"/>
      <c r="E445" s="11"/>
      <c r="F445" s="11"/>
      <c r="G445" s="11"/>
      <c r="H445" s="24"/>
      <c r="I445" s="138"/>
    </row>
    <row r="446" spans="2:9" x14ac:dyDescent="0.25">
      <c r="B446" s="24"/>
      <c r="C446" s="137"/>
      <c r="D446" s="11"/>
      <c r="E446" s="11"/>
      <c r="F446" s="11"/>
      <c r="G446" s="11"/>
      <c r="H446" s="24"/>
      <c r="I446" s="138"/>
    </row>
    <row r="447" spans="2:9" x14ac:dyDescent="0.25">
      <c r="B447" s="7" t="s">
        <v>15</v>
      </c>
      <c r="C447" s="24" t="str">
        <f>IF(upper.limit,"",N)</f>
        <v/>
      </c>
      <c r="D447" s="11"/>
      <c r="E447" s="11"/>
      <c r="F447" s="11"/>
      <c r="G447" s="11"/>
      <c r="H447" s="24"/>
      <c r="I447" s="138"/>
    </row>
    <row r="448" spans="2:9" x14ac:dyDescent="0.25">
      <c r="B448" s="24"/>
      <c r="C448" s="137"/>
      <c r="D448" s="11"/>
      <c r="E448" s="11"/>
      <c r="F448" s="11"/>
      <c r="G448" s="11"/>
      <c r="H448" s="24"/>
      <c r="I448" s="138"/>
    </row>
    <row r="449" spans="2:13" x14ac:dyDescent="0.25">
      <c r="B449" s="7" t="s">
        <v>16</v>
      </c>
      <c r="C449" s="24" t="str">
        <f>IF(upper.limit,"",Sum.X2)</f>
        <v/>
      </c>
      <c r="L449" s="7"/>
      <c r="M449" s="9"/>
    </row>
    <row r="450" spans="2:13" x14ac:dyDescent="0.25">
      <c r="L450" s="7"/>
      <c r="M450" s="9"/>
    </row>
    <row r="451" spans="2:13" ht="15.75" x14ac:dyDescent="0.25">
      <c r="B451" s="7" t="s">
        <v>75</v>
      </c>
      <c r="C451" s="5" t="str">
        <f>IF(upper.limit,"","SUM[(log(log c - log Y)] / N")</f>
        <v/>
      </c>
      <c r="J451" s="39"/>
    </row>
    <row r="452" spans="2:13" ht="15.75" x14ac:dyDescent="0.25">
      <c r="B452" s="57" t="s">
        <v>155</v>
      </c>
      <c r="C452" s="15" t="str">
        <f>IF(upper.limit,"",TEXT($G$444,"#0.###0")&amp;" / "&amp;TEXT($C$447,"#,###"))</f>
        <v/>
      </c>
      <c r="J452" s="39"/>
    </row>
    <row r="453" spans="2:13" x14ac:dyDescent="0.25">
      <c r="B453" s="181" t="s">
        <v>155</v>
      </c>
      <c r="C453" s="15" t="str">
        <f>IF(upper.limit,"",$G$444/$C$447)</f>
        <v/>
      </c>
      <c r="K453" s="6"/>
      <c r="L453" s="24"/>
    </row>
    <row r="454" spans="2:13" x14ac:dyDescent="0.25">
      <c r="J454" s="7"/>
    </row>
    <row r="455" spans="2:13" x14ac:dyDescent="0.25">
      <c r="B455" s="14" t="s">
        <v>18</v>
      </c>
      <c r="C455" t="str">
        <f>IF(upper.limit,"","10^{log(log a)}")</f>
        <v/>
      </c>
      <c r="J455" s="7"/>
    </row>
    <row r="456" spans="2:13" x14ac:dyDescent="0.25">
      <c r="B456" s="57" t="s">
        <v>155</v>
      </c>
      <c r="C456" s="15" t="str">
        <f>IF(upper.limit,"","10^"&amp;TEXT($C$453,"#0.###0"))</f>
        <v/>
      </c>
      <c r="J456" s="7"/>
    </row>
    <row r="457" spans="2:13" x14ac:dyDescent="0.25">
      <c r="B457" s="181" t="s">
        <v>155</v>
      </c>
      <c r="C457" s="15" t="str">
        <f>IF(upper.limit,"",10^$C$453)</f>
        <v/>
      </c>
      <c r="J457" s="7"/>
      <c r="K457" s="8"/>
      <c r="L457" s="24"/>
    </row>
    <row r="458" spans="2:13" x14ac:dyDescent="0.25">
      <c r="C458" s="11"/>
      <c r="K458" s="8"/>
      <c r="L458" s="1"/>
    </row>
    <row r="459" spans="2:13" x14ac:dyDescent="0.25">
      <c r="B459" s="7" t="s">
        <v>19</v>
      </c>
      <c r="C459" s="5" t="str">
        <f>IF(upper.limit,"","SUM([log(log Y - log c)]X]/SUM(X^2)")</f>
        <v/>
      </c>
      <c r="J459" s="24"/>
      <c r="L459" s="1"/>
    </row>
    <row r="460" spans="2:13" x14ac:dyDescent="0.25">
      <c r="B460" s="57" t="s">
        <v>155</v>
      </c>
      <c r="C460" s="15" t="str">
        <f>IF(upper.limit,"",TEXT($I$444,"#0.###0")&amp;" / "&amp;TEXT($C$449,"#,###"))</f>
        <v/>
      </c>
      <c r="J460" s="24"/>
      <c r="L460" s="1"/>
    </row>
    <row r="461" spans="2:13" x14ac:dyDescent="0.25">
      <c r="B461" s="181" t="s">
        <v>155</v>
      </c>
      <c r="C461" s="15" t="str">
        <f>IF(upper.limit,"",$I$444/$C$449)</f>
        <v/>
      </c>
      <c r="J461" s="24"/>
      <c r="L461" s="1"/>
    </row>
    <row r="462" spans="2:13" x14ac:dyDescent="0.25">
      <c r="J462" s="24"/>
      <c r="L462" s="1"/>
    </row>
    <row r="463" spans="2:13" x14ac:dyDescent="0.25">
      <c r="B463" s="14" t="s">
        <v>13</v>
      </c>
      <c r="C463" s="15" t="str">
        <f>IF(upper.limit,"","10^(log b)")</f>
        <v/>
      </c>
      <c r="J463" s="24"/>
      <c r="L463" s="1"/>
    </row>
    <row r="464" spans="2:13" x14ac:dyDescent="0.25">
      <c r="B464" s="57" t="s">
        <v>155</v>
      </c>
      <c r="C464" s="15" t="str">
        <f>IF(upper.limit,"","10^"&amp;TEXT($C$461,"#0.###0"))</f>
        <v/>
      </c>
      <c r="J464" s="24"/>
      <c r="L464" s="1"/>
    </row>
    <row r="465" spans="2:13" x14ac:dyDescent="0.25">
      <c r="B465" s="181" t="s">
        <v>155</v>
      </c>
      <c r="C465" s="15" t="str">
        <f>IF(upper.limit,"",10^$C$461)</f>
        <v/>
      </c>
      <c r="D465" s="6"/>
      <c r="K465" s="24"/>
      <c r="L465" s="1"/>
    </row>
    <row r="466" spans="2:13" x14ac:dyDescent="0.25">
      <c r="B466" s="6"/>
      <c r="C466" s="6"/>
      <c r="D466" s="6"/>
      <c r="E466" s="6"/>
      <c r="F466" s="6"/>
      <c r="G466" s="6"/>
      <c r="K466" s="24"/>
      <c r="L466" s="24"/>
      <c r="M466" s="1"/>
    </row>
    <row r="467" spans="2:13" ht="15.75" x14ac:dyDescent="0.25">
      <c r="B467" s="41" t="s">
        <v>91</v>
      </c>
      <c r="F467" s="6"/>
      <c r="G467" s="6"/>
      <c r="K467" s="24"/>
      <c r="L467" s="24"/>
      <c r="M467" s="1"/>
    </row>
    <row r="468" spans="2:13" ht="15.75" x14ac:dyDescent="0.25">
      <c r="B468" s="42" t="str">
        <f>IF(upper.limit,"",Label)</f>
        <v/>
      </c>
      <c r="C468" s="6"/>
      <c r="K468" s="24"/>
      <c r="L468" s="24"/>
      <c r="M468" s="1"/>
    </row>
    <row r="469" spans="2:13" ht="15.75" thickBot="1" x14ac:dyDescent="0.3">
      <c r="K469" s="24"/>
      <c r="L469" s="24"/>
      <c r="M469" s="1"/>
    </row>
    <row r="470" spans="2:13" x14ac:dyDescent="0.25">
      <c r="B470" s="29" t="s">
        <v>163</v>
      </c>
      <c r="C470" s="19" t="s">
        <v>40</v>
      </c>
      <c r="D470" s="19" t="s">
        <v>38</v>
      </c>
      <c r="E470" s="19" t="s">
        <v>76</v>
      </c>
      <c r="F470" s="19" t="s">
        <v>14</v>
      </c>
      <c r="G470" s="20" t="s">
        <v>131</v>
      </c>
      <c r="H470" s="24"/>
      <c r="I470" s="24"/>
      <c r="M470" s="24"/>
    </row>
    <row r="471" spans="2:13" x14ac:dyDescent="0.25">
      <c r="B471" s="31" t="s">
        <v>2</v>
      </c>
      <c r="C471" s="4" t="s">
        <v>3</v>
      </c>
      <c r="D471" s="43" t="s">
        <v>4</v>
      </c>
      <c r="E471" s="43" t="s">
        <v>5</v>
      </c>
      <c r="F471" s="194" t="s">
        <v>6</v>
      </c>
      <c r="G471" s="195" t="s">
        <v>24</v>
      </c>
      <c r="H471" s="24"/>
      <c r="I471" s="11"/>
    </row>
    <row r="472" spans="2:13" x14ac:dyDescent="0.25">
      <c r="B472" s="26" t="str">
        <f t="shared" ref="B472:B496" si="36">IF(C472="","",IF(C472=base.year,1,B471+1))</f>
        <v/>
      </c>
      <c r="C472" s="2" t="str">
        <f>IF(upper.limit,"",F6)</f>
        <v/>
      </c>
      <c r="D472" s="2" t="str">
        <f>IF(upper.limit,"",I6)</f>
        <v/>
      </c>
      <c r="E472" s="197" t="e">
        <f>$C$501+($C$498*$C$499^D472)</f>
        <v>#VALUE!</v>
      </c>
      <c r="F472" s="168" t="str">
        <f t="shared" ref="F472" si="37">IF(C472="","",ROUND(10^E472,3))</f>
        <v/>
      </c>
      <c r="G472" s="100" t="str">
        <f t="shared" ref="G472:G496" si="38">IF(C472="","",limit)</f>
        <v/>
      </c>
      <c r="H472" s="24"/>
      <c r="I472" s="11"/>
    </row>
    <row r="473" spans="2:13" x14ac:dyDescent="0.25">
      <c r="B473" s="33" t="str">
        <f t="shared" si="36"/>
        <v/>
      </c>
      <c r="C473" s="3" t="str">
        <f>IF(upper.limit,"",F7)</f>
        <v/>
      </c>
      <c r="D473" s="3" t="str">
        <f>IF(upper.limit,"",I7)</f>
        <v/>
      </c>
      <c r="E473" s="198" t="str">
        <f t="shared" ref="E473:E496" si="39">IF(C473="","",$C$501+($C$498*$C$499^D473))</f>
        <v/>
      </c>
      <c r="F473" s="49" t="str">
        <f t="shared" ref="F473:F496" si="40">IF(C473="","",ROUND(10^E473,3))</f>
        <v/>
      </c>
      <c r="G473" s="48" t="str">
        <f t="shared" si="38"/>
        <v/>
      </c>
      <c r="H473" s="24"/>
      <c r="I473" s="11"/>
    </row>
    <row r="474" spans="2:13" x14ac:dyDescent="0.25">
      <c r="B474" s="33" t="str">
        <f t="shared" si="36"/>
        <v/>
      </c>
      <c r="C474" s="3" t="str">
        <f>IF(upper.limit,"",F8)</f>
        <v/>
      </c>
      <c r="D474" s="3" t="str">
        <f>IF(upper.limit,"",I8)</f>
        <v/>
      </c>
      <c r="E474" s="198" t="str">
        <f t="shared" si="39"/>
        <v/>
      </c>
      <c r="F474" s="49" t="str">
        <f t="shared" si="40"/>
        <v/>
      </c>
      <c r="G474" s="48" t="str">
        <f t="shared" si="38"/>
        <v/>
      </c>
      <c r="H474" s="24"/>
      <c r="I474" s="11"/>
    </row>
    <row r="475" spans="2:13" x14ac:dyDescent="0.25">
      <c r="B475" s="33" t="str">
        <f t="shared" si="36"/>
        <v/>
      </c>
      <c r="C475" s="3" t="str">
        <f>IF(upper.limit,"",F9)</f>
        <v/>
      </c>
      <c r="D475" s="3" t="str">
        <f>IF(upper.limit,"",I9)</f>
        <v/>
      </c>
      <c r="E475" s="198" t="str">
        <f t="shared" si="39"/>
        <v/>
      </c>
      <c r="F475" s="49" t="str">
        <f t="shared" si="40"/>
        <v/>
      </c>
      <c r="G475" s="48" t="str">
        <f t="shared" si="38"/>
        <v/>
      </c>
      <c r="I475" s="11"/>
      <c r="L475" s="24"/>
      <c r="M475" s="24"/>
    </row>
    <row r="476" spans="2:13" x14ac:dyDescent="0.25">
      <c r="B476" s="33" t="str">
        <f t="shared" si="36"/>
        <v/>
      </c>
      <c r="C476" s="3" t="str">
        <f>IF(upper.limit,"",F10)</f>
        <v/>
      </c>
      <c r="D476" s="3" t="str">
        <f>IF(upper.limit,"",I10)</f>
        <v/>
      </c>
      <c r="E476" s="198" t="str">
        <f t="shared" si="39"/>
        <v/>
      </c>
      <c r="F476" s="49" t="str">
        <f t="shared" si="40"/>
        <v/>
      </c>
      <c r="G476" s="48" t="str">
        <f t="shared" si="38"/>
        <v/>
      </c>
      <c r="I476" s="11"/>
      <c r="L476" s="24"/>
      <c r="M476" s="24"/>
    </row>
    <row r="477" spans="2:13" x14ac:dyDescent="0.25">
      <c r="B477" s="33" t="str">
        <f t="shared" si="36"/>
        <v/>
      </c>
      <c r="C477" s="3" t="str">
        <f>IF(upper.limit,"",F11)</f>
        <v/>
      </c>
      <c r="D477" s="3" t="str">
        <f>IF(upper.limit,"",I11)</f>
        <v/>
      </c>
      <c r="E477" s="198" t="str">
        <f t="shared" si="39"/>
        <v/>
      </c>
      <c r="F477" s="49" t="str">
        <f t="shared" si="40"/>
        <v/>
      </c>
      <c r="G477" s="48" t="str">
        <f t="shared" si="38"/>
        <v/>
      </c>
      <c r="M477" s="24"/>
    </row>
    <row r="478" spans="2:13" x14ac:dyDescent="0.25">
      <c r="B478" s="33" t="str">
        <f t="shared" si="36"/>
        <v/>
      </c>
      <c r="C478" s="3" t="str">
        <f>IF(upper.limit,"",F12)</f>
        <v/>
      </c>
      <c r="D478" s="3" t="str">
        <f>IF(upper.limit,"",I12)</f>
        <v/>
      </c>
      <c r="E478" s="198" t="str">
        <f t="shared" si="39"/>
        <v/>
      </c>
      <c r="F478" s="49" t="str">
        <f t="shared" si="40"/>
        <v/>
      </c>
      <c r="G478" s="48" t="str">
        <f t="shared" si="38"/>
        <v/>
      </c>
    </row>
    <row r="479" spans="2:13" x14ac:dyDescent="0.25">
      <c r="B479" s="33" t="str">
        <f t="shared" si="36"/>
        <v/>
      </c>
      <c r="C479" s="3" t="str">
        <f>IF(upper.limit,"",F13)</f>
        <v/>
      </c>
      <c r="D479" s="3" t="str">
        <f>IF(upper.limit,"",I13)</f>
        <v/>
      </c>
      <c r="E479" s="198" t="str">
        <f t="shared" si="39"/>
        <v/>
      </c>
      <c r="F479" s="49" t="str">
        <f t="shared" si="40"/>
        <v/>
      </c>
      <c r="G479" s="48" t="str">
        <f t="shared" si="38"/>
        <v/>
      </c>
    </row>
    <row r="480" spans="2:13" x14ac:dyDescent="0.25">
      <c r="B480" s="33" t="str">
        <f t="shared" si="36"/>
        <v/>
      </c>
      <c r="C480" s="3" t="str">
        <f>IF(upper.limit,"",F14)</f>
        <v/>
      </c>
      <c r="D480" s="3" t="str">
        <f>IF(upper.limit,"",I14)</f>
        <v/>
      </c>
      <c r="E480" s="198" t="str">
        <f t="shared" si="39"/>
        <v/>
      </c>
      <c r="F480" s="49" t="str">
        <f t="shared" si="40"/>
        <v/>
      </c>
      <c r="G480" s="48" t="str">
        <f t="shared" si="38"/>
        <v/>
      </c>
    </row>
    <row r="481" spans="2:7" x14ac:dyDescent="0.25">
      <c r="B481" s="33" t="str">
        <f t="shared" si="36"/>
        <v/>
      </c>
      <c r="C481" s="3" t="str">
        <f>IF(upper.limit,"",F15)</f>
        <v/>
      </c>
      <c r="D481" s="3" t="str">
        <f>IF(upper.limit,"",I15)</f>
        <v/>
      </c>
      <c r="E481" s="198" t="str">
        <f t="shared" si="39"/>
        <v/>
      </c>
      <c r="F481" s="49" t="str">
        <f t="shared" si="40"/>
        <v/>
      </c>
      <c r="G481" s="48" t="str">
        <f t="shared" si="38"/>
        <v/>
      </c>
    </row>
    <row r="482" spans="2:7" x14ac:dyDescent="0.25">
      <c r="B482" s="33" t="str">
        <f t="shared" si="36"/>
        <v/>
      </c>
      <c r="C482" s="3" t="str">
        <f>IF(upper.limit,"",F16)</f>
        <v/>
      </c>
      <c r="D482" s="3" t="str">
        <f>IF(upper.limit,"",I16)</f>
        <v/>
      </c>
      <c r="E482" s="198" t="str">
        <f t="shared" si="39"/>
        <v/>
      </c>
      <c r="F482" s="49" t="str">
        <f t="shared" si="40"/>
        <v/>
      </c>
      <c r="G482" s="48" t="str">
        <f t="shared" si="38"/>
        <v/>
      </c>
    </row>
    <row r="483" spans="2:7" x14ac:dyDescent="0.25">
      <c r="B483" s="33" t="str">
        <f t="shared" si="36"/>
        <v/>
      </c>
      <c r="C483" s="3" t="str">
        <f>IF(upper.limit,"",F17)</f>
        <v/>
      </c>
      <c r="D483" s="3" t="str">
        <f>IF(upper.limit,"",I17)</f>
        <v/>
      </c>
      <c r="E483" s="198" t="str">
        <f t="shared" si="39"/>
        <v/>
      </c>
      <c r="F483" s="49" t="str">
        <f t="shared" si="40"/>
        <v/>
      </c>
      <c r="G483" s="48" t="str">
        <f t="shared" si="38"/>
        <v/>
      </c>
    </row>
    <row r="484" spans="2:7" x14ac:dyDescent="0.25">
      <c r="B484" s="33" t="str">
        <f t="shared" si="36"/>
        <v/>
      </c>
      <c r="C484" s="3" t="str">
        <f>IF(upper.limit,"",F18)</f>
        <v/>
      </c>
      <c r="D484" s="3" t="str">
        <f>IF(upper.limit,"",I18)</f>
        <v/>
      </c>
      <c r="E484" s="198" t="str">
        <f t="shared" si="39"/>
        <v/>
      </c>
      <c r="F484" s="49" t="str">
        <f t="shared" si="40"/>
        <v/>
      </c>
      <c r="G484" s="48" t="str">
        <f t="shared" si="38"/>
        <v/>
      </c>
    </row>
    <row r="485" spans="2:7" x14ac:dyDescent="0.25">
      <c r="B485" s="33" t="str">
        <f t="shared" si="36"/>
        <v/>
      </c>
      <c r="C485" s="3" t="str">
        <f>IF(upper.limit,"",F19)</f>
        <v/>
      </c>
      <c r="D485" s="3" t="str">
        <f>IF(upper.limit,"",I19)</f>
        <v/>
      </c>
      <c r="E485" s="198" t="str">
        <f t="shared" si="39"/>
        <v/>
      </c>
      <c r="F485" s="49" t="str">
        <f t="shared" si="40"/>
        <v/>
      </c>
      <c r="G485" s="48" t="str">
        <f t="shared" si="38"/>
        <v/>
      </c>
    </row>
    <row r="486" spans="2:7" x14ac:dyDescent="0.25">
      <c r="B486" s="33" t="str">
        <f t="shared" si="36"/>
        <v/>
      </c>
      <c r="C486" s="3" t="str">
        <f>IF(upper.limit,"",F20)</f>
        <v/>
      </c>
      <c r="D486" s="3" t="str">
        <f>IF(upper.limit,"",I20)</f>
        <v/>
      </c>
      <c r="E486" s="198" t="str">
        <f t="shared" si="39"/>
        <v/>
      </c>
      <c r="F486" s="49" t="str">
        <f t="shared" si="40"/>
        <v/>
      </c>
      <c r="G486" s="48" t="str">
        <f t="shared" si="38"/>
        <v/>
      </c>
    </row>
    <row r="487" spans="2:7" x14ac:dyDescent="0.25">
      <c r="B487" s="33" t="str">
        <f t="shared" si="36"/>
        <v/>
      </c>
      <c r="C487" s="3" t="str">
        <f>IF(upper.limit,"",F21)</f>
        <v/>
      </c>
      <c r="D487" s="3" t="str">
        <f>IF(upper.limit,"",I21)</f>
        <v/>
      </c>
      <c r="E487" s="198" t="str">
        <f t="shared" si="39"/>
        <v/>
      </c>
      <c r="F487" s="49" t="str">
        <f t="shared" si="40"/>
        <v/>
      </c>
      <c r="G487" s="48" t="str">
        <f t="shared" si="38"/>
        <v/>
      </c>
    </row>
    <row r="488" spans="2:7" x14ac:dyDescent="0.25">
      <c r="B488" s="33" t="str">
        <f t="shared" si="36"/>
        <v/>
      </c>
      <c r="C488" s="3" t="str">
        <f>IF(upper.limit,"",F22)</f>
        <v/>
      </c>
      <c r="D488" s="3" t="str">
        <f>IF(upper.limit,"",I22)</f>
        <v/>
      </c>
      <c r="E488" s="198" t="str">
        <f t="shared" si="39"/>
        <v/>
      </c>
      <c r="F488" s="49" t="str">
        <f t="shared" si="40"/>
        <v/>
      </c>
      <c r="G488" s="48" t="str">
        <f t="shared" si="38"/>
        <v/>
      </c>
    </row>
    <row r="489" spans="2:7" x14ac:dyDescent="0.25">
      <c r="B489" s="33" t="str">
        <f t="shared" si="36"/>
        <v/>
      </c>
      <c r="C489" s="3" t="str">
        <f>IF(upper.limit,"",F23)</f>
        <v/>
      </c>
      <c r="D489" s="3" t="str">
        <f>IF(upper.limit,"",I23)</f>
        <v/>
      </c>
      <c r="E489" s="198" t="str">
        <f t="shared" si="39"/>
        <v/>
      </c>
      <c r="F489" s="49" t="str">
        <f t="shared" si="40"/>
        <v/>
      </c>
      <c r="G489" s="48" t="str">
        <f t="shared" si="38"/>
        <v/>
      </c>
    </row>
    <row r="490" spans="2:7" x14ac:dyDescent="0.25">
      <c r="B490" s="33" t="str">
        <f t="shared" si="36"/>
        <v/>
      </c>
      <c r="C490" s="3" t="str">
        <f>IF(upper.limit,"",F24)</f>
        <v/>
      </c>
      <c r="D490" s="3" t="str">
        <f>IF(upper.limit,"",I24)</f>
        <v/>
      </c>
      <c r="E490" s="198" t="str">
        <f t="shared" si="39"/>
        <v/>
      </c>
      <c r="F490" s="49" t="str">
        <f t="shared" si="40"/>
        <v/>
      </c>
      <c r="G490" s="48" t="str">
        <f t="shared" si="38"/>
        <v/>
      </c>
    </row>
    <row r="491" spans="2:7" x14ac:dyDescent="0.25">
      <c r="B491" s="33" t="str">
        <f t="shared" si="36"/>
        <v/>
      </c>
      <c r="C491" s="3" t="str">
        <f>IF(upper.limit,"",F25)</f>
        <v/>
      </c>
      <c r="D491" s="3" t="str">
        <f>IF(upper.limit,"",I25)</f>
        <v/>
      </c>
      <c r="E491" s="198" t="str">
        <f t="shared" si="39"/>
        <v/>
      </c>
      <c r="F491" s="49" t="str">
        <f t="shared" si="40"/>
        <v/>
      </c>
      <c r="G491" s="48" t="str">
        <f t="shared" si="38"/>
        <v/>
      </c>
    </row>
    <row r="492" spans="2:7" x14ac:dyDescent="0.25">
      <c r="B492" s="33" t="str">
        <f t="shared" si="36"/>
        <v/>
      </c>
      <c r="C492" s="3" t="str">
        <f>IF(upper.limit,"",F26)</f>
        <v/>
      </c>
      <c r="D492" s="3" t="str">
        <f>IF(upper.limit,"",I26)</f>
        <v/>
      </c>
      <c r="E492" s="198" t="str">
        <f t="shared" si="39"/>
        <v/>
      </c>
      <c r="F492" s="49" t="str">
        <f t="shared" si="40"/>
        <v/>
      </c>
      <c r="G492" s="48" t="str">
        <f t="shared" si="38"/>
        <v/>
      </c>
    </row>
    <row r="493" spans="2:7" x14ac:dyDescent="0.25">
      <c r="B493" s="33" t="str">
        <f t="shared" si="36"/>
        <v/>
      </c>
      <c r="C493" s="3" t="str">
        <f>IF(upper.limit,"",F27)</f>
        <v/>
      </c>
      <c r="D493" s="3" t="str">
        <f>IF(upper.limit,"",I27)</f>
        <v/>
      </c>
      <c r="E493" s="198" t="str">
        <f t="shared" si="39"/>
        <v/>
      </c>
      <c r="F493" s="49" t="str">
        <f t="shared" si="40"/>
        <v/>
      </c>
      <c r="G493" s="48" t="str">
        <f t="shared" si="38"/>
        <v/>
      </c>
    </row>
    <row r="494" spans="2:7" x14ac:dyDescent="0.25">
      <c r="B494" s="33" t="str">
        <f t="shared" si="36"/>
        <v/>
      </c>
      <c r="C494" s="3" t="str">
        <f>IF(upper.limit,"",F28)</f>
        <v/>
      </c>
      <c r="D494" s="3" t="str">
        <f>IF(upper.limit,"",I28)</f>
        <v/>
      </c>
      <c r="E494" s="198" t="str">
        <f t="shared" si="39"/>
        <v/>
      </c>
      <c r="F494" s="49" t="str">
        <f t="shared" si="40"/>
        <v/>
      </c>
      <c r="G494" s="48" t="str">
        <f t="shared" si="38"/>
        <v/>
      </c>
    </row>
    <row r="495" spans="2:7" x14ac:dyDescent="0.25">
      <c r="B495" s="33" t="str">
        <f t="shared" si="36"/>
        <v/>
      </c>
      <c r="C495" s="3" t="str">
        <f>IF(upper.limit,"",F29)</f>
        <v/>
      </c>
      <c r="D495" s="3" t="str">
        <f>IF(upper.limit,"",I29)</f>
        <v/>
      </c>
      <c r="E495" s="198" t="str">
        <f t="shared" si="39"/>
        <v/>
      </c>
      <c r="F495" s="49" t="str">
        <f t="shared" si="40"/>
        <v/>
      </c>
      <c r="G495" s="48" t="str">
        <f t="shared" si="38"/>
        <v/>
      </c>
    </row>
    <row r="496" spans="2:7" ht="15.75" thickBot="1" x14ac:dyDescent="0.3">
      <c r="B496" s="30" t="str">
        <f t="shared" si="36"/>
        <v/>
      </c>
      <c r="C496" s="22" t="str">
        <f>IF(upper.limit,"",F30)</f>
        <v/>
      </c>
      <c r="D496" s="22" t="str">
        <f>IF(upper.limit,"",I30)</f>
        <v/>
      </c>
      <c r="E496" s="199" t="str">
        <f t="shared" si="39"/>
        <v/>
      </c>
      <c r="F496" s="101" t="str">
        <f t="shared" si="40"/>
        <v/>
      </c>
      <c r="G496" s="104" t="str">
        <f t="shared" si="38"/>
        <v/>
      </c>
    </row>
    <row r="498" spans="2:13" x14ac:dyDescent="0.25">
      <c r="B498" s="86" t="s">
        <v>18</v>
      </c>
      <c r="C498" s="8" t="str">
        <f>C457</f>
        <v/>
      </c>
      <c r="K498" s="24"/>
      <c r="L498" s="24"/>
      <c r="M498" s="25"/>
    </row>
    <row r="499" spans="2:13" x14ac:dyDescent="0.25">
      <c r="B499" s="86" t="s">
        <v>13</v>
      </c>
      <c r="C499" s="8" t="str">
        <f>C465</f>
        <v/>
      </c>
      <c r="F499" s="24"/>
      <c r="G499" s="24"/>
      <c r="K499" s="24"/>
      <c r="L499" s="24"/>
      <c r="M499" s="25"/>
    </row>
    <row r="500" spans="2:13" x14ac:dyDescent="0.25">
      <c r="B500" s="57" t="s">
        <v>27</v>
      </c>
      <c r="C500" s="122" t="str">
        <f>IF(upper.limit,"",limit)</f>
        <v/>
      </c>
      <c r="D500" s="86"/>
      <c r="E500" s="8"/>
      <c r="F500" s="24"/>
      <c r="G500" s="24"/>
      <c r="K500" s="24"/>
      <c r="L500" s="24"/>
      <c r="M500" s="25"/>
    </row>
    <row r="501" spans="2:13" x14ac:dyDescent="0.25">
      <c r="B501" s="7" t="s">
        <v>77</v>
      </c>
      <c r="C501" s="8" t="str">
        <f>IF(upper.limit,"",LOG(C500))</f>
        <v/>
      </c>
      <c r="D501" s="86"/>
      <c r="E501" s="90"/>
      <c r="F501" s="24"/>
      <c r="G501" s="24"/>
      <c r="K501" s="24"/>
      <c r="L501" s="24"/>
    </row>
    <row r="502" spans="2:13" x14ac:dyDescent="0.25">
      <c r="B502" s="7" t="s">
        <v>164</v>
      </c>
      <c r="C502" s="5" t="str">
        <f>INDEX(C472:G496,index,2)</f>
        <v/>
      </c>
      <c r="D502" s="7"/>
      <c r="E502" s="13"/>
      <c r="F502" s="24"/>
      <c r="G502" s="24"/>
      <c r="K502" s="24"/>
      <c r="L502" s="24"/>
    </row>
    <row r="503" spans="2:13" x14ac:dyDescent="0.25">
      <c r="B503" s="7"/>
      <c r="C503" s="5"/>
      <c r="D503" s="7"/>
      <c r="E503" s="13"/>
      <c r="F503" s="24"/>
      <c r="G503" s="24"/>
      <c r="K503" s="24"/>
      <c r="L503" s="24"/>
    </row>
    <row r="504" spans="2:13" x14ac:dyDescent="0.25">
      <c r="B504" s="7" t="s">
        <v>165</v>
      </c>
      <c r="C504" s="18" t="str">
        <f>IF(upper.limit,"","log  c + (log a)b^X{1})")</f>
        <v/>
      </c>
      <c r="D504" s="7"/>
      <c r="E504" s="13"/>
      <c r="F504" s="24"/>
      <c r="G504" s="24"/>
      <c r="K504" s="24"/>
      <c r="L504" s="24"/>
    </row>
    <row r="505" spans="2:13" x14ac:dyDescent="0.25">
      <c r="B505" s="57" t="s">
        <v>155</v>
      </c>
      <c r="C505" s="196" t="str">
        <f>IF(upper.limit,"",TEXT($C$501,"#0.###0")&amp;" + ( "&amp;TEXT($C$498,"#0.###0")&amp;")("&amp;TEXT($C$499,"#0.###0")&amp;"^"&amp;TEXT($C$502,"##,###")&amp;")")</f>
        <v/>
      </c>
      <c r="D505" s="7"/>
      <c r="E505" s="13"/>
      <c r="F505" s="24"/>
      <c r="G505" s="24"/>
      <c r="K505" s="24"/>
      <c r="L505" s="24"/>
    </row>
    <row r="506" spans="2:13" x14ac:dyDescent="0.25">
      <c r="B506" s="57" t="s">
        <v>155</v>
      </c>
      <c r="C506" s="196" t="str">
        <f>IF(upper.limit,"",$C$501+($C$498*$C$499^$C$502))</f>
        <v/>
      </c>
      <c r="D506" s="7"/>
      <c r="E506" s="13"/>
      <c r="F506" s="24"/>
      <c r="G506" s="24"/>
      <c r="K506" s="24"/>
      <c r="L506" s="24"/>
    </row>
    <row r="507" spans="2:13" x14ac:dyDescent="0.25">
      <c r="B507" s="57"/>
      <c r="C507" s="18"/>
      <c r="D507" s="7"/>
      <c r="E507" s="13"/>
      <c r="F507" s="24"/>
      <c r="G507" s="24"/>
      <c r="K507" s="24"/>
      <c r="L507" s="24"/>
    </row>
    <row r="508" spans="2:13" x14ac:dyDescent="0.25">
      <c r="B508" s="57" t="s">
        <v>166</v>
      </c>
      <c r="C508" s="18" t="str">
        <f>IF(upper.limit,"","10^(log Yc{1})")</f>
        <v/>
      </c>
      <c r="D508" s="7"/>
      <c r="E508" s="13"/>
      <c r="F508" s="24"/>
      <c r="G508" s="24"/>
      <c r="K508" s="24"/>
      <c r="L508" s="24"/>
    </row>
    <row r="509" spans="2:13" x14ac:dyDescent="0.25">
      <c r="B509" s="57" t="s">
        <v>155</v>
      </c>
      <c r="C509" s="18" t="str">
        <f>IF(upper.limit,"","10^"&amp;TEXT($C$506,"#.###0"))</f>
        <v/>
      </c>
      <c r="D509" s="7"/>
      <c r="E509" s="13"/>
      <c r="F509" s="24"/>
      <c r="G509" s="24"/>
      <c r="K509" s="24"/>
      <c r="L509" s="24"/>
    </row>
    <row r="510" spans="2:13" x14ac:dyDescent="0.25">
      <c r="B510" s="57" t="s">
        <v>155</v>
      </c>
      <c r="C510" s="90" t="str">
        <f>IF(upper.limit,"",10^$C$506)</f>
        <v/>
      </c>
      <c r="D510" s="7"/>
      <c r="E510" s="13"/>
      <c r="F510" s="24"/>
      <c r="G510" s="24"/>
      <c r="K510" s="24"/>
      <c r="L510" s="24"/>
    </row>
    <row r="513" spans="2:73" x14ac:dyDescent="0.25">
      <c r="B513" s="95" t="s">
        <v>86</v>
      </c>
    </row>
    <row r="514" spans="2:73" ht="15.75" thickBot="1" x14ac:dyDescent="0.3"/>
    <row r="515" spans="2:73" x14ac:dyDescent="0.25">
      <c r="B515" s="29" t="s">
        <v>66</v>
      </c>
      <c r="C515" s="45" t="s">
        <v>67</v>
      </c>
      <c r="D515" s="75" t="s">
        <v>33</v>
      </c>
      <c r="E515" s="73"/>
      <c r="F515" s="73"/>
      <c r="G515" s="73"/>
      <c r="H515" s="76"/>
      <c r="I515" s="75" t="s">
        <v>48</v>
      </c>
      <c r="J515" s="73"/>
      <c r="K515" s="73"/>
      <c r="L515" s="73"/>
      <c r="M515" s="73"/>
      <c r="N515" s="78" t="s">
        <v>34</v>
      </c>
      <c r="O515" s="79"/>
      <c r="P515" s="73"/>
      <c r="Q515" s="79"/>
      <c r="R515" s="80"/>
      <c r="S515" s="78" t="s">
        <v>78</v>
      </c>
      <c r="T515" s="79"/>
      <c r="U515" s="73"/>
      <c r="V515" s="79"/>
      <c r="W515" s="80"/>
      <c r="X515" s="75" t="str">
        <f>"Average for Columns "&amp;Output!I4</f>
        <v>Average for Columns 4+5+6+7</v>
      </c>
      <c r="Y515" s="73"/>
      <c r="Z515" s="73"/>
      <c r="AA515" s="73"/>
      <c r="AB515" s="76"/>
      <c r="AC515" s="75" t="str">
        <f>"Average for Columns "&amp;Output!J4</f>
        <v>Average for Columns 4+5+6</v>
      </c>
      <c r="AD515" s="73"/>
      <c r="AE515" s="73"/>
      <c r="AF515" s="73"/>
      <c r="AG515" s="73"/>
      <c r="AH515" s="75" t="str">
        <f>"Average for Columns "&amp;Output!K4</f>
        <v>Average for Columns 4+6+7</v>
      </c>
      <c r="AI515" s="79"/>
      <c r="AJ515" s="73"/>
      <c r="AK515" s="79"/>
      <c r="AL515" s="80"/>
      <c r="AM515" s="75" t="str">
        <f>"Average for Columns "&amp;Output!L4</f>
        <v>Average for Columns 5+6+7</v>
      </c>
      <c r="AN515" s="79"/>
      <c r="AO515" s="73"/>
      <c r="AP515" s="79"/>
      <c r="AQ515" s="80"/>
      <c r="AR515" s="75" t="str">
        <f>"Average for Columns "&amp;Output!M4</f>
        <v>Average for Columns 4+5</v>
      </c>
      <c r="AS515" s="73"/>
      <c r="AT515" s="73"/>
      <c r="AU515" s="73"/>
      <c r="AV515" s="76"/>
      <c r="AW515" s="75" t="str">
        <f>"Average for Columns "&amp;Output!N4</f>
        <v>Average for Columns 4+6</v>
      </c>
      <c r="AX515" s="73"/>
      <c r="AY515" s="73"/>
      <c r="AZ515" s="73"/>
      <c r="BA515" s="73"/>
      <c r="BB515" s="75" t="str">
        <f>"Average for Columns "&amp;Output!O4</f>
        <v>Average for Columns 4+7</v>
      </c>
      <c r="BC515" s="79"/>
      <c r="BD515" s="73"/>
      <c r="BE515" s="79"/>
      <c r="BF515" s="80"/>
      <c r="BG515" s="75" t="str">
        <f>"Average for Columns "&amp;Output!P4</f>
        <v>Average for Columns 5+6</v>
      </c>
      <c r="BH515" s="79"/>
      <c r="BI515" s="73"/>
      <c r="BJ515" s="79"/>
      <c r="BK515" s="80"/>
      <c r="BL515" s="75" t="str">
        <f>"Average for Columns "&amp;Output!Q4</f>
        <v>Average for Columns 5+7</v>
      </c>
      <c r="BM515" s="79"/>
      <c r="BN515" s="73"/>
      <c r="BO515" s="79"/>
      <c r="BP515" s="80"/>
      <c r="BQ515" s="75" t="str">
        <f>"Average for Columns "&amp;Output!R4</f>
        <v>Average for Columns 6+7</v>
      </c>
      <c r="BR515" s="79"/>
      <c r="BS515" s="73"/>
      <c r="BT515" s="79"/>
      <c r="BU515" s="80"/>
    </row>
    <row r="516" spans="2:73" x14ac:dyDescent="0.25">
      <c r="B516" s="33"/>
      <c r="C516" s="46"/>
      <c r="D516" s="26" t="s">
        <v>14</v>
      </c>
      <c r="E516" s="2" t="s">
        <v>59</v>
      </c>
      <c r="F516" s="2" t="s">
        <v>99</v>
      </c>
      <c r="G516" s="2" t="s">
        <v>60</v>
      </c>
      <c r="H516" s="77" t="s">
        <v>61</v>
      </c>
      <c r="I516" s="26" t="s">
        <v>14</v>
      </c>
      <c r="J516" s="2" t="s">
        <v>59</v>
      </c>
      <c r="K516" s="2" t="s">
        <v>99</v>
      </c>
      <c r="L516" s="2" t="s">
        <v>60</v>
      </c>
      <c r="M516" s="131" t="s">
        <v>61</v>
      </c>
      <c r="N516" s="26" t="s">
        <v>14</v>
      </c>
      <c r="O516" s="2" t="s">
        <v>59</v>
      </c>
      <c r="P516" s="2" t="s">
        <v>99</v>
      </c>
      <c r="Q516" s="2" t="s">
        <v>60</v>
      </c>
      <c r="R516" s="77" t="s">
        <v>61</v>
      </c>
      <c r="S516" s="26" t="s">
        <v>14</v>
      </c>
      <c r="T516" s="2" t="s">
        <v>59</v>
      </c>
      <c r="U516" s="2" t="s">
        <v>99</v>
      </c>
      <c r="V516" s="2" t="s">
        <v>60</v>
      </c>
      <c r="W516" s="77" t="s">
        <v>61</v>
      </c>
      <c r="X516" s="26" t="s">
        <v>14</v>
      </c>
      <c r="Y516" s="2" t="s">
        <v>59</v>
      </c>
      <c r="Z516" s="2" t="s">
        <v>99</v>
      </c>
      <c r="AA516" s="2" t="s">
        <v>60</v>
      </c>
      <c r="AB516" s="77" t="s">
        <v>61</v>
      </c>
      <c r="AC516" s="135" t="s">
        <v>14</v>
      </c>
      <c r="AD516" s="2" t="s">
        <v>59</v>
      </c>
      <c r="AE516" s="2" t="s">
        <v>99</v>
      </c>
      <c r="AF516" s="2" t="s">
        <v>60</v>
      </c>
      <c r="AG516" s="131" t="s">
        <v>61</v>
      </c>
      <c r="AH516" s="26" t="s">
        <v>14</v>
      </c>
      <c r="AI516" s="2" t="s">
        <v>59</v>
      </c>
      <c r="AJ516" s="2" t="s">
        <v>99</v>
      </c>
      <c r="AK516" s="2" t="s">
        <v>60</v>
      </c>
      <c r="AL516" s="77" t="s">
        <v>61</v>
      </c>
      <c r="AM516" s="26" t="s">
        <v>14</v>
      </c>
      <c r="AN516" s="2" t="s">
        <v>59</v>
      </c>
      <c r="AO516" s="2" t="s">
        <v>99</v>
      </c>
      <c r="AP516" s="2" t="s">
        <v>60</v>
      </c>
      <c r="AQ516" s="77" t="s">
        <v>61</v>
      </c>
      <c r="AR516" s="26" t="s">
        <v>14</v>
      </c>
      <c r="AS516" s="2" t="s">
        <v>59</v>
      </c>
      <c r="AT516" s="2" t="s">
        <v>99</v>
      </c>
      <c r="AU516" s="2" t="s">
        <v>60</v>
      </c>
      <c r="AV516" s="77" t="s">
        <v>61</v>
      </c>
      <c r="AW516" s="135" t="s">
        <v>14</v>
      </c>
      <c r="AX516" s="2" t="s">
        <v>59</v>
      </c>
      <c r="AY516" s="2" t="s">
        <v>99</v>
      </c>
      <c r="AZ516" s="2" t="s">
        <v>60</v>
      </c>
      <c r="BA516" s="131" t="s">
        <v>61</v>
      </c>
      <c r="BB516" s="26" t="s">
        <v>14</v>
      </c>
      <c r="BC516" s="2" t="s">
        <v>59</v>
      </c>
      <c r="BD516" s="2" t="s">
        <v>99</v>
      </c>
      <c r="BE516" s="2" t="s">
        <v>60</v>
      </c>
      <c r="BF516" s="77" t="s">
        <v>61</v>
      </c>
      <c r="BG516" s="26" t="s">
        <v>14</v>
      </c>
      <c r="BH516" s="2" t="s">
        <v>59</v>
      </c>
      <c r="BI516" s="2" t="s">
        <v>99</v>
      </c>
      <c r="BJ516" s="2" t="s">
        <v>60</v>
      </c>
      <c r="BK516" s="77" t="s">
        <v>61</v>
      </c>
      <c r="BL516" s="26" t="s">
        <v>14</v>
      </c>
      <c r="BM516" s="2" t="s">
        <v>59</v>
      </c>
      <c r="BN516" s="2" t="s">
        <v>99</v>
      </c>
      <c r="BO516" s="2" t="s">
        <v>60</v>
      </c>
      <c r="BP516" s="77" t="s">
        <v>61</v>
      </c>
      <c r="BQ516" s="26" t="s">
        <v>14</v>
      </c>
      <c r="BR516" s="2" t="s">
        <v>59</v>
      </c>
      <c r="BS516" s="2" t="s">
        <v>99</v>
      </c>
      <c r="BT516" s="2" t="s">
        <v>60</v>
      </c>
      <c r="BU516" s="77" t="s">
        <v>61</v>
      </c>
    </row>
    <row r="517" spans="2:73" x14ac:dyDescent="0.25">
      <c r="B517" s="54" t="s">
        <v>2</v>
      </c>
      <c r="C517" s="74" t="s">
        <v>3</v>
      </c>
      <c r="D517" s="54" t="s">
        <v>4</v>
      </c>
      <c r="E517" s="43" t="s">
        <v>5</v>
      </c>
      <c r="F517" s="43" t="s">
        <v>6</v>
      </c>
      <c r="G517" s="43" t="s">
        <v>24</v>
      </c>
      <c r="H517" s="44" t="s">
        <v>25</v>
      </c>
      <c r="I517" s="54" t="s">
        <v>4</v>
      </c>
      <c r="J517" s="43" t="s">
        <v>5</v>
      </c>
      <c r="K517" s="43" t="s">
        <v>6</v>
      </c>
      <c r="L517" s="43" t="s">
        <v>24</v>
      </c>
      <c r="M517" s="74" t="s">
        <v>25</v>
      </c>
      <c r="N517" s="54" t="s">
        <v>4</v>
      </c>
      <c r="O517" s="43" t="s">
        <v>5</v>
      </c>
      <c r="P517" s="43" t="s">
        <v>6</v>
      </c>
      <c r="Q517" s="43" t="s">
        <v>24</v>
      </c>
      <c r="R517" s="44" t="s">
        <v>25</v>
      </c>
      <c r="S517" s="54" t="s">
        <v>4</v>
      </c>
      <c r="T517" s="43" t="s">
        <v>5</v>
      </c>
      <c r="U517" s="43" t="s">
        <v>6</v>
      </c>
      <c r="V517" s="43" t="s">
        <v>24</v>
      </c>
      <c r="W517" s="44" t="s">
        <v>25</v>
      </c>
      <c r="X517" s="54" t="s">
        <v>4</v>
      </c>
      <c r="Y517" s="43" t="s">
        <v>5</v>
      </c>
      <c r="Z517" s="43" t="s">
        <v>6</v>
      </c>
      <c r="AA517" s="43" t="s">
        <v>24</v>
      </c>
      <c r="AB517" s="44" t="s">
        <v>25</v>
      </c>
      <c r="AC517" s="123" t="s">
        <v>4</v>
      </c>
      <c r="AD517" s="43" t="s">
        <v>5</v>
      </c>
      <c r="AE517" s="43" t="s">
        <v>6</v>
      </c>
      <c r="AF517" s="43" t="s">
        <v>24</v>
      </c>
      <c r="AG517" s="74" t="s">
        <v>25</v>
      </c>
      <c r="AH517" s="54" t="s">
        <v>4</v>
      </c>
      <c r="AI517" s="43" t="s">
        <v>5</v>
      </c>
      <c r="AJ517" s="43" t="s">
        <v>6</v>
      </c>
      <c r="AK517" s="43" t="s">
        <v>24</v>
      </c>
      <c r="AL517" s="44" t="s">
        <v>25</v>
      </c>
      <c r="AM517" s="54" t="s">
        <v>4</v>
      </c>
      <c r="AN517" s="43" t="s">
        <v>5</v>
      </c>
      <c r="AO517" s="43" t="s">
        <v>6</v>
      </c>
      <c r="AP517" s="43" t="s">
        <v>24</v>
      </c>
      <c r="AQ517" s="44" t="s">
        <v>25</v>
      </c>
      <c r="AR517" s="54" t="s">
        <v>4</v>
      </c>
      <c r="AS517" s="43" t="s">
        <v>5</v>
      </c>
      <c r="AT517" s="43" t="s">
        <v>6</v>
      </c>
      <c r="AU517" s="43" t="s">
        <v>24</v>
      </c>
      <c r="AV517" s="44" t="s">
        <v>25</v>
      </c>
      <c r="AW517" s="123" t="s">
        <v>4</v>
      </c>
      <c r="AX517" s="43" t="s">
        <v>5</v>
      </c>
      <c r="AY517" s="43" t="s">
        <v>6</v>
      </c>
      <c r="AZ517" s="43" t="s">
        <v>24</v>
      </c>
      <c r="BA517" s="74" t="s">
        <v>25</v>
      </c>
      <c r="BB517" s="54" t="s">
        <v>4</v>
      </c>
      <c r="BC517" s="43" t="s">
        <v>5</v>
      </c>
      <c r="BD517" s="43" t="s">
        <v>6</v>
      </c>
      <c r="BE517" s="43" t="s">
        <v>24</v>
      </c>
      <c r="BF517" s="44" t="s">
        <v>25</v>
      </c>
      <c r="BG517" s="54" t="s">
        <v>4</v>
      </c>
      <c r="BH517" s="43" t="s">
        <v>5</v>
      </c>
      <c r="BI517" s="43" t="s">
        <v>6</v>
      </c>
      <c r="BJ517" s="43" t="s">
        <v>24</v>
      </c>
      <c r="BK517" s="44" t="s">
        <v>25</v>
      </c>
      <c r="BL517" s="54" t="s">
        <v>4</v>
      </c>
      <c r="BM517" s="43" t="s">
        <v>5</v>
      </c>
      <c r="BN517" s="43" t="s">
        <v>6</v>
      </c>
      <c r="BO517" s="43" t="s">
        <v>24</v>
      </c>
      <c r="BP517" s="44" t="s">
        <v>25</v>
      </c>
      <c r="BQ517" s="54" t="s">
        <v>4</v>
      </c>
      <c r="BR517" s="43" t="s">
        <v>5</v>
      </c>
      <c r="BS517" s="43" t="s">
        <v>6</v>
      </c>
      <c r="BT517" s="43" t="s">
        <v>24</v>
      </c>
      <c r="BU517" s="44" t="s">
        <v>25</v>
      </c>
    </row>
    <row r="518" spans="2:73" x14ac:dyDescent="0.25">
      <c r="B518" s="58" t="str">
        <f t="shared" ref="B518:B519" si="41">E6</f>
        <v/>
      </c>
      <c r="C518" s="132" t="str">
        <f t="shared" ref="C518:C532" si="42">IF(B518&lt;&gt;0,G6,"")</f>
        <v/>
      </c>
      <c r="D518" s="52" t="str">
        <f t="shared" ref="D518:D532" si="43">IF($B518="","",E86)</f>
        <v/>
      </c>
      <c r="E518" s="49" t="str">
        <f t="shared" ref="E518:E519" si="44">IF($B518="","",D518-$C518)</f>
        <v/>
      </c>
      <c r="F518" s="49" t="str">
        <f t="shared" ref="F518:F519" si="45">IF($B518="","",ABS(E518))</f>
        <v/>
      </c>
      <c r="G518" s="49" t="str">
        <f t="shared" ref="G518:G519" si="46">IF($B518="","",(E518/$C518)*100)</f>
        <v/>
      </c>
      <c r="H518" s="48" t="str">
        <f t="shared" ref="H518:H519" si="47">IF($B518="","",(ABS(E518/$C518))*100)</f>
        <v/>
      </c>
      <c r="I518" s="52" t="str">
        <f t="shared" ref="I518:I532" si="48">IF($B518="","",F179)</f>
        <v/>
      </c>
      <c r="J518" s="49" t="str">
        <f t="shared" ref="J518:J519" si="49">IF($B518="","",I518-$C518)</f>
        <v/>
      </c>
      <c r="K518" s="49" t="str">
        <f t="shared" ref="K518:K519" si="50">IF($B518="","",ABS(J518))</f>
        <v/>
      </c>
      <c r="L518" s="49" t="str">
        <f t="shared" ref="L518:L519" si="51">IF($B518="","",(J518/$C518)*100)</f>
        <v/>
      </c>
      <c r="M518" s="132" t="str">
        <f t="shared" ref="M518:M519" si="52">IF($B518="","",(ABS(J518/$C518))*100)</f>
        <v/>
      </c>
      <c r="N518" s="52" t="str">
        <f t="shared" ref="N518:N532" si="53">IF($B518="","",E273)</f>
        <v/>
      </c>
      <c r="O518" s="49" t="str">
        <f t="shared" ref="O518:O519" si="54">IF(J518="","",N518-$C518)</f>
        <v/>
      </c>
      <c r="P518" s="49" t="str">
        <f t="shared" ref="P518:P519" si="55">IF($B518="","",ABS(O518))</f>
        <v/>
      </c>
      <c r="Q518" s="49" t="str">
        <f t="shared" ref="Q518:Q519" si="56">IF($B518="","",(O518/$C518)*100)</f>
        <v/>
      </c>
      <c r="R518" s="48" t="str">
        <f t="shared" ref="R518:R519" si="57">IF($B518="","",(ABS(O518/$C518))*100)</f>
        <v/>
      </c>
      <c r="S518" s="52" t="str">
        <f>IF($B518="","",IF(upper.limit,F373,F472))</f>
        <v/>
      </c>
      <c r="T518" s="49" t="str">
        <f t="shared" ref="T518:T519" si="58">IF($B518="","",S518-$C518)</f>
        <v/>
      </c>
      <c r="U518" s="49" t="str">
        <f t="shared" ref="U518:U519" si="59">IF($B518="","",ABS(T518))</f>
        <v/>
      </c>
      <c r="V518" s="49" t="str">
        <f t="shared" ref="V518:V519" si="60">IF($B518="","",(T518/$C518)*100)</f>
        <v/>
      </c>
      <c r="W518" s="48" t="str">
        <f t="shared" ref="W518:W519" si="61">IF($B518="","",(ABS(T518/$C518))*100)</f>
        <v/>
      </c>
      <c r="X518" s="52" t="str">
        <f>IF(B518&lt;&gt;"",Output!I6,"")</f>
        <v/>
      </c>
      <c r="Y518" s="49" t="str">
        <f t="shared" ref="Y518:Y519" si="62">IF($B518="","",X518-$C518)</f>
        <v/>
      </c>
      <c r="Z518" s="49" t="str">
        <f t="shared" ref="Z518:Z519" si="63">IF($B518="","",ABS(Y518))</f>
        <v/>
      </c>
      <c r="AA518" s="49" t="str">
        <f t="shared" ref="AA518:AA519" si="64">IF($B518="","",(Y518/$C518)*100)</f>
        <v/>
      </c>
      <c r="AB518" s="48" t="str">
        <f t="shared" ref="AB518:AB519" si="65">IF($B518="","",(ABS(Y518/$C518))*100)</f>
        <v/>
      </c>
      <c r="AC518" s="136" t="str">
        <f>IF(G518&lt;&gt;"",Output!J6,"")</f>
        <v/>
      </c>
      <c r="AD518" s="49" t="str">
        <f t="shared" ref="AD518:AD519" si="66">IF($B518="","",AC518-$C518)</f>
        <v/>
      </c>
      <c r="AE518" s="49" t="str">
        <f t="shared" ref="AE518:AE519" si="67">IF($B518="","",ABS(AD518))</f>
        <v/>
      </c>
      <c r="AF518" s="49" t="str">
        <f t="shared" ref="AF518:AF519" si="68">IF($B518="","",(AD518/$C518)*100)</f>
        <v/>
      </c>
      <c r="AG518" s="132" t="str">
        <f t="shared" ref="AG518:AG519" si="69">IF($B518="","",(ABS(AD518/$C518))*100)</f>
        <v/>
      </c>
      <c r="AH518" s="52" t="str">
        <f>IF(L518&lt;&gt;"",Output!K6,"")</f>
        <v/>
      </c>
      <c r="AI518" s="49" t="str">
        <f t="shared" ref="AI518:AI519" si="70">IF(AD518="","",AH518-$C518)</f>
        <v/>
      </c>
      <c r="AJ518" s="49" t="str">
        <f t="shared" ref="AJ518:AJ519" si="71">IF($B518="","",ABS(AI518))</f>
        <v/>
      </c>
      <c r="AK518" s="49" t="str">
        <f t="shared" ref="AK518:AK519" si="72">IF($B518="","",(AI518/$C518)*100)</f>
        <v/>
      </c>
      <c r="AL518" s="48" t="str">
        <f t="shared" ref="AL518:AL519" si="73">IF($B518="","",(ABS(AI518/$C518))*100)</f>
        <v/>
      </c>
      <c r="AM518" s="52" t="str">
        <f>IF(Q518&lt;&gt;"",Output!L6,"")</f>
        <v/>
      </c>
      <c r="AN518" s="49" t="str">
        <f t="shared" ref="AN518:AN519" si="74">IF($B518="","",AM518-$C518)</f>
        <v/>
      </c>
      <c r="AO518" s="49" t="str">
        <f t="shared" ref="AO518:AO519" si="75">IF($B518="","",ABS(AN518))</f>
        <v/>
      </c>
      <c r="AP518" s="49" t="str">
        <f t="shared" ref="AP518:AP519" si="76">IF($B518="","",(AN518/$C518)*100)</f>
        <v/>
      </c>
      <c r="AQ518" s="48" t="str">
        <f t="shared" ref="AQ518:AQ519" si="77">IF($B518="","",(ABS(AN518/$C518))*100)</f>
        <v/>
      </c>
      <c r="AR518" s="52" t="str">
        <f>IF(V518&lt;&gt;"",Output!M6,"")</f>
        <v/>
      </c>
      <c r="AS518" s="49" t="str">
        <f t="shared" ref="AS518:AS519" si="78">IF($B518="","",AR518-$C518)</f>
        <v/>
      </c>
      <c r="AT518" s="49" t="str">
        <f t="shared" ref="AT518:AT519" si="79">IF($B518="","",ABS(AS518))</f>
        <v/>
      </c>
      <c r="AU518" s="49" t="str">
        <f t="shared" ref="AU518:AU519" si="80">IF($B518="","",(AS518/$C518)*100)</f>
        <v/>
      </c>
      <c r="AV518" s="48" t="str">
        <f t="shared" ref="AV518:AV519" si="81">IF($B518="","",(ABS(AS518/$C518))*100)</f>
        <v/>
      </c>
      <c r="AW518" s="136" t="str">
        <f>IF(AA518&lt;&gt;"",Output!N6,"")</f>
        <v/>
      </c>
      <c r="AX518" s="49" t="str">
        <f t="shared" ref="AX518:AX519" si="82">IF($B518="","",AW518-$C518)</f>
        <v/>
      </c>
      <c r="AY518" s="49" t="str">
        <f t="shared" ref="AY518:AY519" si="83">IF($B518="","",ABS(AX518))</f>
        <v/>
      </c>
      <c r="AZ518" s="49" t="str">
        <f t="shared" ref="AZ518:AZ519" si="84">IF($B518="","",(AX518/$C518)*100)</f>
        <v/>
      </c>
      <c r="BA518" s="132" t="str">
        <f t="shared" ref="BA518:BA519" si="85">IF($B518="","",(ABS(AX518/$C518))*100)</f>
        <v/>
      </c>
      <c r="BB518" s="52" t="str">
        <f>IF(AF518&lt;&gt;"",Output!O6,"")</f>
        <v/>
      </c>
      <c r="BC518" s="49" t="str">
        <f t="shared" ref="BC518:BC519" si="86">IF(AX518="","",BB518-$C518)</f>
        <v/>
      </c>
      <c r="BD518" s="49" t="str">
        <f t="shared" ref="BD518:BD519" si="87">IF($B518="","",ABS(BC518))</f>
        <v/>
      </c>
      <c r="BE518" s="49" t="str">
        <f t="shared" ref="BE518:BE519" si="88">IF($B518="","",(BC518/$C518)*100)</f>
        <v/>
      </c>
      <c r="BF518" s="48" t="str">
        <f t="shared" ref="BF518:BF519" si="89">IF($B518="","",(ABS(BC518/$C518))*100)</f>
        <v/>
      </c>
      <c r="BG518" s="52" t="str">
        <f>IF(AK518&lt;&gt;"",Output!P6,"")</f>
        <v/>
      </c>
      <c r="BH518" s="49" t="str">
        <f t="shared" ref="BH518:BH519" si="90">IF($B518="","",BG518-$C518)</f>
        <v/>
      </c>
      <c r="BI518" s="49" t="str">
        <f t="shared" ref="BI518:BI519" si="91">IF($B518="","",ABS(BH518))</f>
        <v/>
      </c>
      <c r="BJ518" s="49" t="str">
        <f t="shared" ref="BJ518:BJ519" si="92">IF($B518="","",(BH518/$C518)*100)</f>
        <v/>
      </c>
      <c r="BK518" s="48" t="str">
        <f t="shared" ref="BK518:BK519" si="93">IF($B518="","",(ABS(BH518/$C518))*100)</f>
        <v/>
      </c>
      <c r="BL518" s="52" t="str">
        <f>IF(AP518&lt;&gt;"",Output!Q6,"")</f>
        <v/>
      </c>
      <c r="BM518" s="49" t="str">
        <f t="shared" ref="BM518:BM519" si="94">IF(BH518="","",BL518-$C518)</f>
        <v/>
      </c>
      <c r="BN518" s="49" t="str">
        <f t="shared" ref="BN518:BN519" si="95">IF($B518="","",ABS(BM518))</f>
        <v/>
      </c>
      <c r="BO518" s="49" t="str">
        <f t="shared" ref="BO518:BO519" si="96">IF($B518="","",(BM518/$C518)*100)</f>
        <v/>
      </c>
      <c r="BP518" s="48" t="str">
        <f t="shared" ref="BP518:BP519" si="97">IF($B518="","",(ABS(BM518/$C518))*100)</f>
        <v/>
      </c>
      <c r="BQ518" s="52" t="str">
        <f>IF(AU518&lt;&gt;"",Output!R6,"")</f>
        <v/>
      </c>
      <c r="BR518" s="49" t="str">
        <f t="shared" ref="BR518:BR519" si="98">IF($B518="","",BQ518-$C518)</f>
        <v/>
      </c>
      <c r="BS518" s="49" t="str">
        <f t="shared" ref="BS518:BS519" si="99">IF($B518="","",ABS(BR518))</f>
        <v/>
      </c>
      <c r="BT518" s="49" t="str">
        <f t="shared" ref="BT518:BT519" si="100">IF($B518="","",(BR518/$C518)*100)</f>
        <v/>
      </c>
      <c r="BU518" s="48" t="str">
        <f t="shared" ref="BU518:BU519" si="101">IF($B518="","",(ABS(BR518/$C518))*100)</f>
        <v/>
      </c>
    </row>
    <row r="519" spans="2:73" x14ac:dyDescent="0.25">
      <c r="B519" s="58" t="str">
        <f t="shared" si="41"/>
        <v/>
      </c>
      <c r="C519" s="132" t="str">
        <f t="shared" si="42"/>
        <v/>
      </c>
      <c r="D519" s="52" t="str">
        <f t="shared" si="43"/>
        <v/>
      </c>
      <c r="E519" s="49" t="str">
        <f t="shared" si="44"/>
        <v/>
      </c>
      <c r="F519" s="49" t="str">
        <f t="shared" si="45"/>
        <v/>
      </c>
      <c r="G519" s="49" t="str">
        <f t="shared" si="46"/>
        <v/>
      </c>
      <c r="H519" s="48" t="str">
        <f t="shared" si="47"/>
        <v/>
      </c>
      <c r="I519" s="52" t="str">
        <f t="shared" si="48"/>
        <v/>
      </c>
      <c r="J519" s="49" t="str">
        <f t="shared" si="49"/>
        <v/>
      </c>
      <c r="K519" s="49" t="str">
        <f t="shared" si="50"/>
        <v/>
      </c>
      <c r="L519" s="49" t="str">
        <f t="shared" si="51"/>
        <v/>
      </c>
      <c r="M519" s="132" t="str">
        <f t="shared" si="52"/>
        <v/>
      </c>
      <c r="N519" s="52" t="str">
        <f t="shared" si="53"/>
        <v/>
      </c>
      <c r="O519" s="49" t="str">
        <f t="shared" si="54"/>
        <v/>
      </c>
      <c r="P519" s="49" t="str">
        <f t="shared" si="55"/>
        <v/>
      </c>
      <c r="Q519" s="49" t="str">
        <f t="shared" si="56"/>
        <v/>
      </c>
      <c r="R519" s="48" t="str">
        <f t="shared" si="57"/>
        <v/>
      </c>
      <c r="S519" s="52" t="str">
        <f>IF($B519="","",IF(upper.limit,F374,F473))</f>
        <v/>
      </c>
      <c r="T519" s="49" t="str">
        <f t="shared" si="58"/>
        <v/>
      </c>
      <c r="U519" s="49" t="str">
        <f t="shared" si="59"/>
        <v/>
      </c>
      <c r="V519" s="49" t="str">
        <f t="shared" si="60"/>
        <v/>
      </c>
      <c r="W519" s="48" t="str">
        <f t="shared" si="61"/>
        <v/>
      </c>
      <c r="X519" s="52" t="str">
        <f>IF(B519&lt;&gt;"",Output!I7,"")</f>
        <v/>
      </c>
      <c r="Y519" s="49" t="str">
        <f t="shared" si="62"/>
        <v/>
      </c>
      <c r="Z519" s="49" t="str">
        <f t="shared" si="63"/>
        <v/>
      </c>
      <c r="AA519" s="49" t="str">
        <f t="shared" si="64"/>
        <v/>
      </c>
      <c r="AB519" s="48" t="str">
        <f t="shared" si="65"/>
        <v/>
      </c>
      <c r="AC519" s="136" t="str">
        <f>IF(G519&lt;&gt;"",Output!J7,"")</f>
        <v/>
      </c>
      <c r="AD519" s="49" t="str">
        <f t="shared" si="66"/>
        <v/>
      </c>
      <c r="AE519" s="49" t="str">
        <f t="shared" si="67"/>
        <v/>
      </c>
      <c r="AF519" s="49" t="str">
        <f t="shared" si="68"/>
        <v/>
      </c>
      <c r="AG519" s="132" t="str">
        <f t="shared" si="69"/>
        <v/>
      </c>
      <c r="AH519" s="52" t="str">
        <f>IF(L519&lt;&gt;"",Output!K7,"")</f>
        <v/>
      </c>
      <c r="AI519" s="49" t="str">
        <f t="shared" si="70"/>
        <v/>
      </c>
      <c r="AJ519" s="49" t="str">
        <f t="shared" si="71"/>
        <v/>
      </c>
      <c r="AK519" s="49" t="str">
        <f t="shared" si="72"/>
        <v/>
      </c>
      <c r="AL519" s="48" t="str">
        <f t="shared" si="73"/>
        <v/>
      </c>
      <c r="AM519" s="52" t="str">
        <f>IF(Q519&lt;&gt;"",Output!L7,"")</f>
        <v/>
      </c>
      <c r="AN519" s="49" t="str">
        <f t="shared" si="74"/>
        <v/>
      </c>
      <c r="AO519" s="49" t="str">
        <f t="shared" si="75"/>
        <v/>
      </c>
      <c r="AP519" s="49" t="str">
        <f t="shared" si="76"/>
        <v/>
      </c>
      <c r="AQ519" s="48" t="str">
        <f t="shared" si="77"/>
        <v/>
      </c>
      <c r="AR519" s="52" t="str">
        <f>IF(V519&lt;&gt;"",Output!M7,"")</f>
        <v/>
      </c>
      <c r="AS519" s="49" t="str">
        <f t="shared" si="78"/>
        <v/>
      </c>
      <c r="AT519" s="49" t="str">
        <f t="shared" si="79"/>
        <v/>
      </c>
      <c r="AU519" s="49" t="str">
        <f t="shared" si="80"/>
        <v/>
      </c>
      <c r="AV519" s="48" t="str">
        <f t="shared" si="81"/>
        <v/>
      </c>
      <c r="AW519" s="136" t="str">
        <f>IF(AA519&lt;&gt;"",Output!N7,"")</f>
        <v/>
      </c>
      <c r="AX519" s="49" t="str">
        <f t="shared" si="82"/>
        <v/>
      </c>
      <c r="AY519" s="49" t="str">
        <f t="shared" si="83"/>
        <v/>
      </c>
      <c r="AZ519" s="49" t="str">
        <f t="shared" si="84"/>
        <v/>
      </c>
      <c r="BA519" s="132" t="str">
        <f t="shared" si="85"/>
        <v/>
      </c>
      <c r="BB519" s="52" t="str">
        <f>IF(AF519&lt;&gt;"",Output!O7,"")</f>
        <v/>
      </c>
      <c r="BC519" s="49" t="str">
        <f t="shared" si="86"/>
        <v/>
      </c>
      <c r="BD519" s="49" t="str">
        <f t="shared" si="87"/>
        <v/>
      </c>
      <c r="BE519" s="49" t="str">
        <f t="shared" si="88"/>
        <v/>
      </c>
      <c r="BF519" s="48" t="str">
        <f t="shared" si="89"/>
        <v/>
      </c>
      <c r="BG519" s="52" t="str">
        <f>IF(AK519&lt;&gt;"",Output!P7,"")</f>
        <v/>
      </c>
      <c r="BH519" s="49" t="str">
        <f t="shared" si="90"/>
        <v/>
      </c>
      <c r="BI519" s="49" t="str">
        <f t="shared" si="91"/>
        <v/>
      </c>
      <c r="BJ519" s="49" t="str">
        <f t="shared" si="92"/>
        <v/>
      </c>
      <c r="BK519" s="48" t="str">
        <f t="shared" si="93"/>
        <v/>
      </c>
      <c r="BL519" s="52" t="str">
        <f>IF(AP519&lt;&gt;"",Output!Q7,"")</f>
        <v/>
      </c>
      <c r="BM519" s="49" t="str">
        <f t="shared" si="94"/>
        <v/>
      </c>
      <c r="BN519" s="49" t="str">
        <f t="shared" si="95"/>
        <v/>
      </c>
      <c r="BO519" s="49" t="str">
        <f t="shared" si="96"/>
        <v/>
      </c>
      <c r="BP519" s="48" t="str">
        <f t="shared" si="97"/>
        <v/>
      </c>
      <c r="BQ519" s="52" t="str">
        <f>IF(AU519&lt;&gt;"",Output!R7,"")</f>
        <v/>
      </c>
      <c r="BR519" s="49" t="str">
        <f t="shared" si="98"/>
        <v/>
      </c>
      <c r="BS519" s="49" t="str">
        <f t="shared" si="99"/>
        <v/>
      </c>
      <c r="BT519" s="49" t="str">
        <f t="shared" si="100"/>
        <v/>
      </c>
      <c r="BU519" s="48" t="str">
        <f t="shared" si="101"/>
        <v/>
      </c>
    </row>
    <row r="520" spans="2:73" x14ac:dyDescent="0.25">
      <c r="B520" s="58" t="str">
        <f t="shared" ref="B520:B532" si="102">E8</f>
        <v/>
      </c>
      <c r="C520" s="132" t="str">
        <f t="shared" si="42"/>
        <v/>
      </c>
      <c r="D520" s="52" t="str">
        <f t="shared" si="43"/>
        <v/>
      </c>
      <c r="E520" s="49" t="str">
        <f t="shared" ref="E520:E531" si="103">IF($B520="","",D520-$C520)</f>
        <v/>
      </c>
      <c r="F520" s="49" t="str">
        <f t="shared" ref="F520:F531" si="104">IF($B520="","",ABS(E520))</f>
        <v/>
      </c>
      <c r="G520" s="49" t="str">
        <f t="shared" ref="G520:G531" si="105">IF($B520="","",(E520/$C520)*100)</f>
        <v/>
      </c>
      <c r="H520" s="48" t="str">
        <f t="shared" ref="H520:H531" si="106">IF($B520="","",(ABS(E520/$C520))*100)</f>
        <v/>
      </c>
      <c r="I520" s="52" t="str">
        <f t="shared" si="48"/>
        <v/>
      </c>
      <c r="J520" s="49" t="str">
        <f t="shared" ref="J520:J531" si="107">IF($B520="","",I520-$C520)</f>
        <v/>
      </c>
      <c r="K520" s="49" t="str">
        <f t="shared" ref="K520:K531" si="108">IF($B520="","",ABS(J520))</f>
        <v/>
      </c>
      <c r="L520" s="49" t="str">
        <f t="shared" ref="L520:L531" si="109">IF($B520="","",(J520/$C520)*100)</f>
        <v/>
      </c>
      <c r="M520" s="132" t="str">
        <f t="shared" ref="M520:M531" si="110">IF($B520="","",(ABS(J520/$C520))*100)</f>
        <v/>
      </c>
      <c r="N520" s="52" t="str">
        <f t="shared" si="53"/>
        <v/>
      </c>
      <c r="O520" s="49" t="str">
        <f t="shared" ref="O520:O531" si="111">IF(J520="","",N520-$C520)</f>
        <v/>
      </c>
      <c r="P520" s="49" t="str">
        <f t="shared" ref="P520:P531" si="112">IF($B520="","",ABS(O520))</f>
        <v/>
      </c>
      <c r="Q520" s="49" t="str">
        <f t="shared" ref="Q520:Q531" si="113">IF($B520="","",(O520/$C520)*100)</f>
        <v/>
      </c>
      <c r="R520" s="48" t="str">
        <f t="shared" ref="R520:R531" si="114">IF($B520="","",(ABS(O520/$C520))*100)</f>
        <v/>
      </c>
      <c r="S520" s="52" t="str">
        <f>IF($B520="","",IF(upper.limit,F375,F474))</f>
        <v/>
      </c>
      <c r="T520" s="49" t="str">
        <f t="shared" ref="T520:T531" si="115">IF($B520="","",S520-$C520)</f>
        <v/>
      </c>
      <c r="U520" s="49" t="str">
        <f t="shared" ref="U520:U531" si="116">IF($B520="","",ABS(T520))</f>
        <v/>
      </c>
      <c r="V520" s="49" t="str">
        <f t="shared" ref="V520:V531" si="117">IF($B520="","",(T520/$C520)*100)</f>
        <v/>
      </c>
      <c r="W520" s="48" t="str">
        <f t="shared" ref="W520:W531" si="118">IF($B520="","",(ABS(T520/$C520))*100)</f>
        <v/>
      </c>
      <c r="X520" s="52" t="str">
        <f>IF(B520&lt;&gt;"",Output!I8,"")</f>
        <v/>
      </c>
      <c r="Y520" s="49" t="str">
        <f t="shared" ref="Y520:Y531" si="119">IF($B520="","",X520-$C520)</f>
        <v/>
      </c>
      <c r="Z520" s="49" t="str">
        <f t="shared" ref="Z520:Z531" si="120">IF($B520="","",ABS(Y520))</f>
        <v/>
      </c>
      <c r="AA520" s="49" t="str">
        <f t="shared" ref="AA520:AA531" si="121">IF($B520="","",(Y520/$C520)*100)</f>
        <v/>
      </c>
      <c r="AB520" s="48" t="str">
        <f t="shared" ref="AB520:AB531" si="122">IF($B520="","",(ABS(Y520/$C520))*100)</f>
        <v/>
      </c>
      <c r="AC520" s="136" t="str">
        <f>IF(G520&lt;&gt;"",Output!J8,"")</f>
        <v/>
      </c>
      <c r="AD520" s="49" t="str">
        <f t="shared" ref="AD520:AD531" si="123">IF($B520="","",AC520-$C520)</f>
        <v/>
      </c>
      <c r="AE520" s="49" t="str">
        <f t="shared" ref="AE520:AE531" si="124">IF($B520="","",ABS(AD520))</f>
        <v/>
      </c>
      <c r="AF520" s="49" t="str">
        <f t="shared" ref="AF520:AF531" si="125">IF($B520="","",(AD520/$C520)*100)</f>
        <v/>
      </c>
      <c r="AG520" s="132" t="str">
        <f t="shared" ref="AG520:AG531" si="126">IF($B520="","",(ABS(AD520/$C520))*100)</f>
        <v/>
      </c>
      <c r="AH520" s="52" t="str">
        <f>IF(L520&lt;&gt;"",Output!K8,"")</f>
        <v/>
      </c>
      <c r="AI520" s="49" t="str">
        <f t="shared" ref="AI520:AI531" si="127">IF(AD520="","",AH520-$C520)</f>
        <v/>
      </c>
      <c r="AJ520" s="49" t="str">
        <f t="shared" ref="AJ520:AJ531" si="128">IF($B520="","",ABS(AI520))</f>
        <v/>
      </c>
      <c r="AK520" s="49" t="str">
        <f t="shared" ref="AK520:AK531" si="129">IF($B520="","",(AI520/$C520)*100)</f>
        <v/>
      </c>
      <c r="AL520" s="48" t="str">
        <f t="shared" ref="AL520:AL531" si="130">IF($B520="","",(ABS(AI520/$C520))*100)</f>
        <v/>
      </c>
      <c r="AM520" s="52" t="str">
        <f>IF(Q520&lt;&gt;"",Output!L8,"")</f>
        <v/>
      </c>
      <c r="AN520" s="49" t="str">
        <f t="shared" ref="AN520:AN531" si="131">IF($B520="","",AM520-$C520)</f>
        <v/>
      </c>
      <c r="AO520" s="49" t="str">
        <f t="shared" ref="AO520:AO531" si="132">IF($B520="","",ABS(AN520))</f>
        <v/>
      </c>
      <c r="AP520" s="49" t="str">
        <f t="shared" ref="AP520:AP531" si="133">IF($B520="","",(AN520/$C520)*100)</f>
        <v/>
      </c>
      <c r="AQ520" s="48" t="str">
        <f t="shared" ref="AQ520:AQ531" si="134">IF($B520="","",(ABS(AN520/$C520))*100)</f>
        <v/>
      </c>
      <c r="AR520" s="52" t="str">
        <f>IF(V520&lt;&gt;"",Output!M8,"")</f>
        <v/>
      </c>
      <c r="AS520" s="49" t="str">
        <f t="shared" ref="AS520:AS531" si="135">IF($B520="","",AR520-$C520)</f>
        <v/>
      </c>
      <c r="AT520" s="49" t="str">
        <f t="shared" ref="AT520:AT531" si="136">IF($B520="","",ABS(AS520))</f>
        <v/>
      </c>
      <c r="AU520" s="49" t="str">
        <f t="shared" ref="AU520:AU531" si="137">IF($B520="","",(AS520/$C520)*100)</f>
        <v/>
      </c>
      <c r="AV520" s="48" t="str">
        <f t="shared" ref="AV520:AV531" si="138">IF($B520="","",(ABS(AS520/$C520))*100)</f>
        <v/>
      </c>
      <c r="AW520" s="136" t="str">
        <f>IF(AA520&lt;&gt;"",Output!N8,"")</f>
        <v/>
      </c>
      <c r="AX520" s="49" t="str">
        <f t="shared" ref="AX520:AX531" si="139">IF($B520="","",AW520-$C520)</f>
        <v/>
      </c>
      <c r="AY520" s="49" t="str">
        <f t="shared" ref="AY520:AY531" si="140">IF($B520="","",ABS(AX520))</f>
        <v/>
      </c>
      <c r="AZ520" s="49" t="str">
        <f t="shared" ref="AZ520:AZ531" si="141">IF($B520="","",(AX520/$C520)*100)</f>
        <v/>
      </c>
      <c r="BA520" s="132" t="str">
        <f t="shared" ref="BA520:BA531" si="142">IF($B520="","",(ABS(AX520/$C520))*100)</f>
        <v/>
      </c>
      <c r="BB520" s="52" t="str">
        <f>IF(AF520&lt;&gt;"",Output!O8,"")</f>
        <v/>
      </c>
      <c r="BC520" s="49" t="str">
        <f t="shared" ref="BC520:BC531" si="143">IF(AX520="","",BB520-$C520)</f>
        <v/>
      </c>
      <c r="BD520" s="49" t="str">
        <f t="shared" ref="BD520:BD531" si="144">IF($B520="","",ABS(BC520))</f>
        <v/>
      </c>
      <c r="BE520" s="49" t="str">
        <f t="shared" ref="BE520:BE531" si="145">IF($B520="","",(BC520/$C520)*100)</f>
        <v/>
      </c>
      <c r="BF520" s="48" t="str">
        <f t="shared" ref="BF520:BF531" si="146">IF($B520="","",(ABS(BC520/$C520))*100)</f>
        <v/>
      </c>
      <c r="BG520" s="52" t="str">
        <f>IF(AK520&lt;&gt;"",Output!P8,"")</f>
        <v/>
      </c>
      <c r="BH520" s="49" t="str">
        <f t="shared" ref="BH520:BH531" si="147">IF($B520="","",BG520-$C520)</f>
        <v/>
      </c>
      <c r="BI520" s="49" t="str">
        <f t="shared" ref="BI520:BI531" si="148">IF($B520="","",ABS(BH520))</f>
        <v/>
      </c>
      <c r="BJ520" s="49" t="str">
        <f t="shared" ref="BJ520:BJ531" si="149">IF($B520="","",(BH520/$C520)*100)</f>
        <v/>
      </c>
      <c r="BK520" s="48" t="str">
        <f t="shared" ref="BK520:BK531" si="150">IF($B520="","",(ABS(BH520/$C520))*100)</f>
        <v/>
      </c>
      <c r="BL520" s="52" t="str">
        <f>IF(AP520&lt;&gt;"",Output!Q8,"")</f>
        <v/>
      </c>
      <c r="BM520" s="49" t="str">
        <f t="shared" ref="BM520:BM531" si="151">IF(BH520="","",BL520-$C520)</f>
        <v/>
      </c>
      <c r="BN520" s="49" t="str">
        <f t="shared" ref="BN520:BN531" si="152">IF($B520="","",ABS(BM520))</f>
        <v/>
      </c>
      <c r="BO520" s="49" t="str">
        <f t="shared" ref="BO520:BO531" si="153">IF($B520="","",(BM520/$C520)*100)</f>
        <v/>
      </c>
      <c r="BP520" s="48" t="str">
        <f t="shared" ref="BP520:BP531" si="154">IF($B520="","",(ABS(BM520/$C520))*100)</f>
        <v/>
      </c>
      <c r="BQ520" s="52" t="str">
        <f>IF(AU520&lt;&gt;"",Output!R8,"")</f>
        <v/>
      </c>
      <c r="BR520" s="49" t="str">
        <f t="shared" ref="BR520:BR531" si="155">IF($B520="","",BQ520-$C520)</f>
        <v/>
      </c>
      <c r="BS520" s="49" t="str">
        <f t="shared" ref="BS520:BS531" si="156">IF($B520="","",ABS(BR520))</f>
        <v/>
      </c>
      <c r="BT520" s="49" t="str">
        <f t="shared" ref="BT520:BT531" si="157">IF($B520="","",(BR520/$C520)*100)</f>
        <v/>
      </c>
      <c r="BU520" s="48" t="str">
        <f t="shared" ref="BU520:BU531" si="158">IF($B520="","",(ABS(BR520/$C520))*100)</f>
        <v/>
      </c>
    </row>
    <row r="521" spans="2:73" x14ac:dyDescent="0.25">
      <c r="B521" s="58" t="str">
        <f t="shared" si="102"/>
        <v/>
      </c>
      <c r="C521" s="132" t="str">
        <f t="shared" si="42"/>
        <v/>
      </c>
      <c r="D521" s="52" t="str">
        <f t="shared" si="43"/>
        <v/>
      </c>
      <c r="E521" s="49" t="str">
        <f t="shared" si="103"/>
        <v/>
      </c>
      <c r="F521" s="49" t="str">
        <f t="shared" si="104"/>
        <v/>
      </c>
      <c r="G521" s="49" t="str">
        <f t="shared" si="105"/>
        <v/>
      </c>
      <c r="H521" s="48" t="str">
        <f t="shared" si="106"/>
        <v/>
      </c>
      <c r="I521" s="52" t="str">
        <f t="shared" si="48"/>
        <v/>
      </c>
      <c r="J521" s="49" t="str">
        <f t="shared" si="107"/>
        <v/>
      </c>
      <c r="K521" s="49" t="str">
        <f t="shared" si="108"/>
        <v/>
      </c>
      <c r="L521" s="49" t="str">
        <f t="shared" si="109"/>
        <v/>
      </c>
      <c r="M521" s="132" t="str">
        <f t="shared" si="110"/>
        <v/>
      </c>
      <c r="N521" s="52" t="str">
        <f t="shared" si="53"/>
        <v/>
      </c>
      <c r="O521" s="49" t="str">
        <f t="shared" si="111"/>
        <v/>
      </c>
      <c r="P521" s="49" t="str">
        <f t="shared" si="112"/>
        <v/>
      </c>
      <c r="Q521" s="49" t="str">
        <f t="shared" si="113"/>
        <v/>
      </c>
      <c r="R521" s="48" t="str">
        <f t="shared" si="114"/>
        <v/>
      </c>
      <c r="S521" s="52" t="str">
        <f>IF($B521="","",IF(upper.limit,F376,F475))</f>
        <v/>
      </c>
      <c r="T521" s="49" t="str">
        <f t="shared" si="115"/>
        <v/>
      </c>
      <c r="U521" s="49" t="str">
        <f t="shared" si="116"/>
        <v/>
      </c>
      <c r="V521" s="49" t="str">
        <f t="shared" si="117"/>
        <v/>
      </c>
      <c r="W521" s="48" t="str">
        <f t="shared" si="118"/>
        <v/>
      </c>
      <c r="X521" s="52" t="str">
        <f>IF(B521&lt;&gt;"",Output!I9,"")</f>
        <v/>
      </c>
      <c r="Y521" s="49" t="str">
        <f t="shared" si="119"/>
        <v/>
      </c>
      <c r="Z521" s="49" t="str">
        <f t="shared" si="120"/>
        <v/>
      </c>
      <c r="AA521" s="49" t="str">
        <f t="shared" si="121"/>
        <v/>
      </c>
      <c r="AB521" s="48" t="str">
        <f t="shared" si="122"/>
        <v/>
      </c>
      <c r="AC521" s="136" t="str">
        <f>IF(G521&lt;&gt;"",Output!J9,"")</f>
        <v/>
      </c>
      <c r="AD521" s="49" t="str">
        <f t="shared" si="123"/>
        <v/>
      </c>
      <c r="AE521" s="49" t="str">
        <f t="shared" si="124"/>
        <v/>
      </c>
      <c r="AF521" s="49" t="str">
        <f t="shared" si="125"/>
        <v/>
      </c>
      <c r="AG521" s="132" t="str">
        <f t="shared" si="126"/>
        <v/>
      </c>
      <c r="AH521" s="52" t="str">
        <f>IF(L521&lt;&gt;"",Output!K9,"")</f>
        <v/>
      </c>
      <c r="AI521" s="49" t="str">
        <f t="shared" si="127"/>
        <v/>
      </c>
      <c r="AJ521" s="49" t="str">
        <f t="shared" si="128"/>
        <v/>
      </c>
      <c r="AK521" s="49" t="str">
        <f t="shared" si="129"/>
        <v/>
      </c>
      <c r="AL521" s="48" t="str">
        <f t="shared" si="130"/>
        <v/>
      </c>
      <c r="AM521" s="52" t="str">
        <f>IF(Q521&lt;&gt;"",Output!L9,"")</f>
        <v/>
      </c>
      <c r="AN521" s="49" t="str">
        <f t="shared" si="131"/>
        <v/>
      </c>
      <c r="AO521" s="49" t="str">
        <f t="shared" si="132"/>
        <v/>
      </c>
      <c r="AP521" s="49" t="str">
        <f t="shared" si="133"/>
        <v/>
      </c>
      <c r="AQ521" s="48" t="str">
        <f t="shared" si="134"/>
        <v/>
      </c>
      <c r="AR521" s="52" t="str">
        <f>IF(V521&lt;&gt;"",Output!M9,"")</f>
        <v/>
      </c>
      <c r="AS521" s="49" t="str">
        <f t="shared" si="135"/>
        <v/>
      </c>
      <c r="AT521" s="49" t="str">
        <f t="shared" si="136"/>
        <v/>
      </c>
      <c r="AU521" s="49" t="str">
        <f t="shared" si="137"/>
        <v/>
      </c>
      <c r="AV521" s="48" t="str">
        <f t="shared" si="138"/>
        <v/>
      </c>
      <c r="AW521" s="136" t="str">
        <f>IF(AA521&lt;&gt;"",Output!N9,"")</f>
        <v/>
      </c>
      <c r="AX521" s="49" t="str">
        <f t="shared" si="139"/>
        <v/>
      </c>
      <c r="AY521" s="49" t="str">
        <f t="shared" si="140"/>
        <v/>
      </c>
      <c r="AZ521" s="49" t="str">
        <f t="shared" si="141"/>
        <v/>
      </c>
      <c r="BA521" s="132" t="str">
        <f t="shared" si="142"/>
        <v/>
      </c>
      <c r="BB521" s="52" t="str">
        <f>IF(AF521&lt;&gt;"",Output!O9,"")</f>
        <v/>
      </c>
      <c r="BC521" s="49" t="str">
        <f t="shared" si="143"/>
        <v/>
      </c>
      <c r="BD521" s="49" t="str">
        <f t="shared" si="144"/>
        <v/>
      </c>
      <c r="BE521" s="49" t="str">
        <f t="shared" si="145"/>
        <v/>
      </c>
      <c r="BF521" s="48" t="str">
        <f t="shared" si="146"/>
        <v/>
      </c>
      <c r="BG521" s="52" t="str">
        <f>IF(AK521&lt;&gt;"",Output!P9,"")</f>
        <v/>
      </c>
      <c r="BH521" s="49" t="str">
        <f t="shared" si="147"/>
        <v/>
      </c>
      <c r="BI521" s="49" t="str">
        <f t="shared" si="148"/>
        <v/>
      </c>
      <c r="BJ521" s="49" t="str">
        <f t="shared" si="149"/>
        <v/>
      </c>
      <c r="BK521" s="48" t="str">
        <f t="shared" si="150"/>
        <v/>
      </c>
      <c r="BL521" s="52" t="str">
        <f>IF(AP521&lt;&gt;"",Output!Q9,"")</f>
        <v/>
      </c>
      <c r="BM521" s="49" t="str">
        <f t="shared" si="151"/>
        <v/>
      </c>
      <c r="BN521" s="49" t="str">
        <f t="shared" si="152"/>
        <v/>
      </c>
      <c r="BO521" s="49" t="str">
        <f t="shared" si="153"/>
        <v/>
      </c>
      <c r="BP521" s="48" t="str">
        <f t="shared" si="154"/>
        <v/>
      </c>
      <c r="BQ521" s="52" t="str">
        <f>IF(AU521&lt;&gt;"",Output!R9,"")</f>
        <v/>
      </c>
      <c r="BR521" s="49" t="str">
        <f t="shared" si="155"/>
        <v/>
      </c>
      <c r="BS521" s="49" t="str">
        <f t="shared" si="156"/>
        <v/>
      </c>
      <c r="BT521" s="49" t="str">
        <f t="shared" si="157"/>
        <v/>
      </c>
      <c r="BU521" s="48" t="str">
        <f t="shared" si="158"/>
        <v/>
      </c>
    </row>
    <row r="522" spans="2:73" x14ac:dyDescent="0.25">
      <c r="B522" s="58" t="str">
        <f t="shared" si="102"/>
        <v/>
      </c>
      <c r="C522" s="132" t="str">
        <f t="shared" si="42"/>
        <v/>
      </c>
      <c r="D522" s="52" t="str">
        <f t="shared" si="43"/>
        <v/>
      </c>
      <c r="E522" s="49" t="str">
        <f t="shared" si="103"/>
        <v/>
      </c>
      <c r="F522" s="49" t="str">
        <f t="shared" si="104"/>
        <v/>
      </c>
      <c r="G522" s="49" t="str">
        <f t="shared" si="105"/>
        <v/>
      </c>
      <c r="H522" s="48" t="str">
        <f t="shared" si="106"/>
        <v/>
      </c>
      <c r="I522" s="52" t="str">
        <f t="shared" si="48"/>
        <v/>
      </c>
      <c r="J522" s="49" t="str">
        <f t="shared" si="107"/>
        <v/>
      </c>
      <c r="K522" s="49" t="str">
        <f t="shared" si="108"/>
        <v/>
      </c>
      <c r="L522" s="49" t="str">
        <f t="shared" si="109"/>
        <v/>
      </c>
      <c r="M522" s="132" t="str">
        <f t="shared" si="110"/>
        <v/>
      </c>
      <c r="N522" s="52" t="str">
        <f t="shared" si="53"/>
        <v/>
      </c>
      <c r="O522" s="49" t="str">
        <f t="shared" si="111"/>
        <v/>
      </c>
      <c r="P522" s="49" t="str">
        <f t="shared" si="112"/>
        <v/>
      </c>
      <c r="Q522" s="49" t="str">
        <f t="shared" si="113"/>
        <v/>
      </c>
      <c r="R522" s="48" t="str">
        <f t="shared" si="114"/>
        <v/>
      </c>
      <c r="S522" s="52" t="str">
        <f>IF($B522="","",IF(upper.limit,F377,F476))</f>
        <v/>
      </c>
      <c r="T522" s="49" t="str">
        <f t="shared" si="115"/>
        <v/>
      </c>
      <c r="U522" s="49" t="str">
        <f t="shared" si="116"/>
        <v/>
      </c>
      <c r="V522" s="49" t="str">
        <f t="shared" si="117"/>
        <v/>
      </c>
      <c r="W522" s="48" t="str">
        <f t="shared" si="118"/>
        <v/>
      </c>
      <c r="X522" s="52" t="str">
        <f>IF(B522&lt;&gt;"",Output!I10,"")</f>
        <v/>
      </c>
      <c r="Y522" s="49" t="str">
        <f t="shared" si="119"/>
        <v/>
      </c>
      <c r="Z522" s="49" t="str">
        <f t="shared" si="120"/>
        <v/>
      </c>
      <c r="AA522" s="49" t="str">
        <f t="shared" si="121"/>
        <v/>
      </c>
      <c r="AB522" s="48" t="str">
        <f t="shared" si="122"/>
        <v/>
      </c>
      <c r="AC522" s="136" t="str">
        <f>IF(G522&lt;&gt;"",Output!J10,"")</f>
        <v/>
      </c>
      <c r="AD522" s="49" t="str">
        <f t="shared" si="123"/>
        <v/>
      </c>
      <c r="AE522" s="49" t="str">
        <f t="shared" si="124"/>
        <v/>
      </c>
      <c r="AF522" s="49" t="str">
        <f t="shared" si="125"/>
        <v/>
      </c>
      <c r="AG522" s="132" t="str">
        <f t="shared" si="126"/>
        <v/>
      </c>
      <c r="AH522" s="52" t="str">
        <f>IF(L522&lt;&gt;"",Output!K10,"")</f>
        <v/>
      </c>
      <c r="AI522" s="49" t="str">
        <f t="shared" si="127"/>
        <v/>
      </c>
      <c r="AJ522" s="49" t="str">
        <f t="shared" si="128"/>
        <v/>
      </c>
      <c r="AK522" s="49" t="str">
        <f t="shared" si="129"/>
        <v/>
      </c>
      <c r="AL522" s="48" t="str">
        <f t="shared" si="130"/>
        <v/>
      </c>
      <c r="AM522" s="52" t="str">
        <f>IF(Q522&lt;&gt;"",Output!L10,"")</f>
        <v/>
      </c>
      <c r="AN522" s="49" t="str">
        <f t="shared" si="131"/>
        <v/>
      </c>
      <c r="AO522" s="49" t="str">
        <f t="shared" si="132"/>
        <v/>
      </c>
      <c r="AP522" s="49" t="str">
        <f t="shared" si="133"/>
        <v/>
      </c>
      <c r="AQ522" s="48" t="str">
        <f t="shared" si="134"/>
        <v/>
      </c>
      <c r="AR522" s="52" t="str">
        <f>IF(V522&lt;&gt;"",Output!M10,"")</f>
        <v/>
      </c>
      <c r="AS522" s="49" t="str">
        <f t="shared" si="135"/>
        <v/>
      </c>
      <c r="AT522" s="49" t="str">
        <f t="shared" si="136"/>
        <v/>
      </c>
      <c r="AU522" s="49" t="str">
        <f t="shared" si="137"/>
        <v/>
      </c>
      <c r="AV522" s="48" t="str">
        <f t="shared" si="138"/>
        <v/>
      </c>
      <c r="AW522" s="136" t="str">
        <f>IF(AA522&lt;&gt;"",Output!N10,"")</f>
        <v/>
      </c>
      <c r="AX522" s="49" t="str">
        <f t="shared" si="139"/>
        <v/>
      </c>
      <c r="AY522" s="49" t="str">
        <f t="shared" si="140"/>
        <v/>
      </c>
      <c r="AZ522" s="49" t="str">
        <f t="shared" si="141"/>
        <v/>
      </c>
      <c r="BA522" s="132" t="str">
        <f t="shared" si="142"/>
        <v/>
      </c>
      <c r="BB522" s="52" t="str">
        <f>IF(AF522&lt;&gt;"",Output!O10,"")</f>
        <v/>
      </c>
      <c r="BC522" s="49" t="str">
        <f t="shared" si="143"/>
        <v/>
      </c>
      <c r="BD522" s="49" t="str">
        <f t="shared" si="144"/>
        <v/>
      </c>
      <c r="BE522" s="49" t="str">
        <f t="shared" si="145"/>
        <v/>
      </c>
      <c r="BF522" s="48" t="str">
        <f t="shared" si="146"/>
        <v/>
      </c>
      <c r="BG522" s="52" t="str">
        <f>IF(AK522&lt;&gt;"",Output!P10,"")</f>
        <v/>
      </c>
      <c r="BH522" s="49" t="str">
        <f t="shared" si="147"/>
        <v/>
      </c>
      <c r="BI522" s="49" t="str">
        <f t="shared" si="148"/>
        <v/>
      </c>
      <c r="BJ522" s="49" t="str">
        <f t="shared" si="149"/>
        <v/>
      </c>
      <c r="BK522" s="48" t="str">
        <f t="shared" si="150"/>
        <v/>
      </c>
      <c r="BL522" s="52" t="str">
        <f>IF(AP522&lt;&gt;"",Output!Q10,"")</f>
        <v/>
      </c>
      <c r="BM522" s="49" t="str">
        <f t="shared" si="151"/>
        <v/>
      </c>
      <c r="BN522" s="49" t="str">
        <f t="shared" si="152"/>
        <v/>
      </c>
      <c r="BO522" s="49" t="str">
        <f t="shared" si="153"/>
        <v/>
      </c>
      <c r="BP522" s="48" t="str">
        <f t="shared" si="154"/>
        <v/>
      </c>
      <c r="BQ522" s="52" t="str">
        <f>IF(AU522&lt;&gt;"",Output!R10,"")</f>
        <v/>
      </c>
      <c r="BR522" s="49" t="str">
        <f t="shared" si="155"/>
        <v/>
      </c>
      <c r="BS522" s="49" t="str">
        <f t="shared" si="156"/>
        <v/>
      </c>
      <c r="BT522" s="49" t="str">
        <f t="shared" si="157"/>
        <v/>
      </c>
      <c r="BU522" s="48" t="str">
        <f t="shared" si="158"/>
        <v/>
      </c>
    </row>
    <row r="523" spans="2:73" x14ac:dyDescent="0.25">
      <c r="B523" s="58" t="str">
        <f t="shared" si="102"/>
        <v/>
      </c>
      <c r="C523" s="132" t="str">
        <f t="shared" si="42"/>
        <v/>
      </c>
      <c r="D523" s="52" t="str">
        <f t="shared" si="43"/>
        <v/>
      </c>
      <c r="E523" s="49" t="str">
        <f t="shared" si="103"/>
        <v/>
      </c>
      <c r="F523" s="49" t="str">
        <f t="shared" si="104"/>
        <v/>
      </c>
      <c r="G523" s="49" t="str">
        <f t="shared" si="105"/>
        <v/>
      </c>
      <c r="H523" s="48" t="str">
        <f t="shared" si="106"/>
        <v/>
      </c>
      <c r="I523" s="52" t="str">
        <f t="shared" si="48"/>
        <v/>
      </c>
      <c r="J523" s="49" t="str">
        <f t="shared" si="107"/>
        <v/>
      </c>
      <c r="K523" s="49" t="str">
        <f t="shared" si="108"/>
        <v/>
      </c>
      <c r="L523" s="49" t="str">
        <f t="shared" si="109"/>
        <v/>
      </c>
      <c r="M523" s="132" t="str">
        <f t="shared" si="110"/>
        <v/>
      </c>
      <c r="N523" s="52" t="str">
        <f t="shared" si="53"/>
        <v/>
      </c>
      <c r="O523" s="49" t="str">
        <f t="shared" si="111"/>
        <v/>
      </c>
      <c r="P523" s="49" t="str">
        <f t="shared" si="112"/>
        <v/>
      </c>
      <c r="Q523" s="49" t="str">
        <f t="shared" si="113"/>
        <v/>
      </c>
      <c r="R523" s="48" t="str">
        <f t="shared" si="114"/>
        <v/>
      </c>
      <c r="S523" s="52" t="str">
        <f>IF($B523="","",IF(upper.limit,F378,F477))</f>
        <v/>
      </c>
      <c r="T523" s="49" t="str">
        <f t="shared" si="115"/>
        <v/>
      </c>
      <c r="U523" s="49" t="str">
        <f t="shared" si="116"/>
        <v/>
      </c>
      <c r="V523" s="49" t="str">
        <f t="shared" si="117"/>
        <v/>
      </c>
      <c r="W523" s="48" t="str">
        <f t="shared" si="118"/>
        <v/>
      </c>
      <c r="X523" s="52" t="str">
        <f>IF(B523&lt;&gt;"",Output!I11,"")</f>
        <v/>
      </c>
      <c r="Y523" s="49" t="str">
        <f t="shared" si="119"/>
        <v/>
      </c>
      <c r="Z523" s="49" t="str">
        <f t="shared" si="120"/>
        <v/>
      </c>
      <c r="AA523" s="49" t="str">
        <f t="shared" si="121"/>
        <v/>
      </c>
      <c r="AB523" s="48" t="str">
        <f t="shared" si="122"/>
        <v/>
      </c>
      <c r="AC523" s="136" t="str">
        <f>IF(G523&lt;&gt;"",Output!J11,"")</f>
        <v/>
      </c>
      <c r="AD523" s="49" t="str">
        <f t="shared" si="123"/>
        <v/>
      </c>
      <c r="AE523" s="49" t="str">
        <f t="shared" si="124"/>
        <v/>
      </c>
      <c r="AF523" s="49" t="str">
        <f t="shared" si="125"/>
        <v/>
      </c>
      <c r="AG523" s="132" t="str">
        <f t="shared" si="126"/>
        <v/>
      </c>
      <c r="AH523" s="52" t="str">
        <f>IF(L523&lt;&gt;"",Output!K11,"")</f>
        <v/>
      </c>
      <c r="AI523" s="49" t="str">
        <f t="shared" si="127"/>
        <v/>
      </c>
      <c r="AJ523" s="49" t="str">
        <f t="shared" si="128"/>
        <v/>
      </c>
      <c r="AK523" s="49" t="str">
        <f t="shared" si="129"/>
        <v/>
      </c>
      <c r="AL523" s="48" t="str">
        <f t="shared" si="130"/>
        <v/>
      </c>
      <c r="AM523" s="52" t="str">
        <f>IF(Q523&lt;&gt;"",Output!L11,"")</f>
        <v/>
      </c>
      <c r="AN523" s="49" t="str">
        <f t="shared" si="131"/>
        <v/>
      </c>
      <c r="AO523" s="49" t="str">
        <f t="shared" si="132"/>
        <v/>
      </c>
      <c r="AP523" s="49" t="str">
        <f t="shared" si="133"/>
        <v/>
      </c>
      <c r="AQ523" s="48" t="str">
        <f t="shared" si="134"/>
        <v/>
      </c>
      <c r="AR523" s="52" t="str">
        <f>IF(V523&lt;&gt;"",Output!M11,"")</f>
        <v/>
      </c>
      <c r="AS523" s="49" t="str">
        <f t="shared" si="135"/>
        <v/>
      </c>
      <c r="AT523" s="49" t="str">
        <f t="shared" si="136"/>
        <v/>
      </c>
      <c r="AU523" s="49" t="str">
        <f t="shared" si="137"/>
        <v/>
      </c>
      <c r="AV523" s="48" t="str">
        <f t="shared" si="138"/>
        <v/>
      </c>
      <c r="AW523" s="136" t="str">
        <f>IF(AA523&lt;&gt;"",Output!N11,"")</f>
        <v/>
      </c>
      <c r="AX523" s="49" t="str">
        <f t="shared" si="139"/>
        <v/>
      </c>
      <c r="AY523" s="49" t="str">
        <f t="shared" si="140"/>
        <v/>
      </c>
      <c r="AZ523" s="49" t="str">
        <f t="shared" si="141"/>
        <v/>
      </c>
      <c r="BA523" s="132" t="str">
        <f t="shared" si="142"/>
        <v/>
      </c>
      <c r="BB523" s="52" t="str">
        <f>IF(AF523&lt;&gt;"",Output!O11,"")</f>
        <v/>
      </c>
      <c r="BC523" s="49" t="str">
        <f t="shared" si="143"/>
        <v/>
      </c>
      <c r="BD523" s="49" t="str">
        <f t="shared" si="144"/>
        <v/>
      </c>
      <c r="BE523" s="49" t="str">
        <f t="shared" si="145"/>
        <v/>
      </c>
      <c r="BF523" s="48" t="str">
        <f t="shared" si="146"/>
        <v/>
      </c>
      <c r="BG523" s="52" t="str">
        <f>IF(AK523&lt;&gt;"",Output!P11,"")</f>
        <v/>
      </c>
      <c r="BH523" s="49" t="str">
        <f t="shared" si="147"/>
        <v/>
      </c>
      <c r="BI523" s="49" t="str">
        <f t="shared" si="148"/>
        <v/>
      </c>
      <c r="BJ523" s="49" t="str">
        <f t="shared" si="149"/>
        <v/>
      </c>
      <c r="BK523" s="48" t="str">
        <f t="shared" si="150"/>
        <v/>
      </c>
      <c r="BL523" s="52" t="str">
        <f>IF(AP523&lt;&gt;"",Output!Q11,"")</f>
        <v/>
      </c>
      <c r="BM523" s="49" t="str">
        <f t="shared" si="151"/>
        <v/>
      </c>
      <c r="BN523" s="49" t="str">
        <f t="shared" si="152"/>
        <v/>
      </c>
      <c r="BO523" s="49" t="str">
        <f t="shared" si="153"/>
        <v/>
      </c>
      <c r="BP523" s="48" t="str">
        <f t="shared" si="154"/>
        <v/>
      </c>
      <c r="BQ523" s="52" t="str">
        <f>IF(AU523&lt;&gt;"",Output!R11,"")</f>
        <v/>
      </c>
      <c r="BR523" s="49" t="str">
        <f t="shared" si="155"/>
        <v/>
      </c>
      <c r="BS523" s="49" t="str">
        <f t="shared" si="156"/>
        <v/>
      </c>
      <c r="BT523" s="49" t="str">
        <f t="shared" si="157"/>
        <v/>
      </c>
      <c r="BU523" s="48" t="str">
        <f t="shared" si="158"/>
        <v/>
      </c>
    </row>
    <row r="524" spans="2:73" x14ac:dyDescent="0.25">
      <c r="B524" s="58" t="str">
        <f t="shared" si="102"/>
        <v/>
      </c>
      <c r="C524" s="132" t="str">
        <f t="shared" si="42"/>
        <v/>
      </c>
      <c r="D524" s="52" t="str">
        <f t="shared" si="43"/>
        <v/>
      </c>
      <c r="E524" s="49" t="str">
        <f t="shared" si="103"/>
        <v/>
      </c>
      <c r="F524" s="49" t="str">
        <f t="shared" si="104"/>
        <v/>
      </c>
      <c r="G524" s="49" t="str">
        <f t="shared" si="105"/>
        <v/>
      </c>
      <c r="H524" s="48" t="str">
        <f t="shared" si="106"/>
        <v/>
      </c>
      <c r="I524" s="52" t="str">
        <f t="shared" si="48"/>
        <v/>
      </c>
      <c r="J524" s="49" t="str">
        <f t="shared" si="107"/>
        <v/>
      </c>
      <c r="K524" s="49" t="str">
        <f t="shared" si="108"/>
        <v/>
      </c>
      <c r="L524" s="49" t="str">
        <f t="shared" si="109"/>
        <v/>
      </c>
      <c r="M524" s="132" t="str">
        <f t="shared" si="110"/>
        <v/>
      </c>
      <c r="N524" s="52" t="str">
        <f t="shared" si="53"/>
        <v/>
      </c>
      <c r="O524" s="49" t="str">
        <f t="shared" si="111"/>
        <v/>
      </c>
      <c r="P524" s="49" t="str">
        <f t="shared" si="112"/>
        <v/>
      </c>
      <c r="Q524" s="49" t="str">
        <f t="shared" si="113"/>
        <v/>
      </c>
      <c r="R524" s="48" t="str">
        <f t="shared" si="114"/>
        <v/>
      </c>
      <c r="S524" s="52" t="str">
        <f>IF($B524="","",IF(upper.limit,F379,F478))</f>
        <v/>
      </c>
      <c r="T524" s="49" t="str">
        <f t="shared" si="115"/>
        <v/>
      </c>
      <c r="U524" s="49" t="str">
        <f t="shared" si="116"/>
        <v/>
      </c>
      <c r="V524" s="49" t="str">
        <f t="shared" si="117"/>
        <v/>
      </c>
      <c r="W524" s="48" t="str">
        <f t="shared" si="118"/>
        <v/>
      </c>
      <c r="X524" s="52" t="str">
        <f>IF(B524&lt;&gt;"",Output!I12,"")</f>
        <v/>
      </c>
      <c r="Y524" s="49" t="str">
        <f t="shared" si="119"/>
        <v/>
      </c>
      <c r="Z524" s="49" t="str">
        <f t="shared" si="120"/>
        <v/>
      </c>
      <c r="AA524" s="49" t="str">
        <f t="shared" si="121"/>
        <v/>
      </c>
      <c r="AB524" s="48" t="str">
        <f t="shared" si="122"/>
        <v/>
      </c>
      <c r="AC524" s="136" t="str">
        <f>IF(G524&lt;&gt;"",Output!J12,"")</f>
        <v/>
      </c>
      <c r="AD524" s="49" t="str">
        <f t="shared" si="123"/>
        <v/>
      </c>
      <c r="AE524" s="49" t="str">
        <f t="shared" si="124"/>
        <v/>
      </c>
      <c r="AF524" s="49" t="str">
        <f t="shared" si="125"/>
        <v/>
      </c>
      <c r="AG524" s="132" t="str">
        <f t="shared" si="126"/>
        <v/>
      </c>
      <c r="AH524" s="52" t="str">
        <f>IF(L524&lt;&gt;"",Output!K12,"")</f>
        <v/>
      </c>
      <c r="AI524" s="49" t="str">
        <f t="shared" si="127"/>
        <v/>
      </c>
      <c r="AJ524" s="49" t="str">
        <f t="shared" si="128"/>
        <v/>
      </c>
      <c r="AK524" s="49" t="str">
        <f t="shared" si="129"/>
        <v/>
      </c>
      <c r="AL524" s="48" t="str">
        <f t="shared" si="130"/>
        <v/>
      </c>
      <c r="AM524" s="52" t="str">
        <f>IF(Q524&lt;&gt;"",Output!L12,"")</f>
        <v/>
      </c>
      <c r="AN524" s="49" t="str">
        <f t="shared" si="131"/>
        <v/>
      </c>
      <c r="AO524" s="49" t="str">
        <f t="shared" si="132"/>
        <v/>
      </c>
      <c r="AP524" s="49" t="str">
        <f t="shared" si="133"/>
        <v/>
      </c>
      <c r="AQ524" s="48" t="str">
        <f t="shared" si="134"/>
        <v/>
      </c>
      <c r="AR524" s="52" t="str">
        <f>IF(V524&lt;&gt;"",Output!M12,"")</f>
        <v/>
      </c>
      <c r="AS524" s="49" t="str">
        <f t="shared" si="135"/>
        <v/>
      </c>
      <c r="AT524" s="49" t="str">
        <f t="shared" si="136"/>
        <v/>
      </c>
      <c r="AU524" s="49" t="str">
        <f t="shared" si="137"/>
        <v/>
      </c>
      <c r="AV524" s="48" t="str">
        <f t="shared" si="138"/>
        <v/>
      </c>
      <c r="AW524" s="136" t="str">
        <f>IF(AA524&lt;&gt;"",Output!N12,"")</f>
        <v/>
      </c>
      <c r="AX524" s="49" t="str">
        <f t="shared" si="139"/>
        <v/>
      </c>
      <c r="AY524" s="49" t="str">
        <f t="shared" si="140"/>
        <v/>
      </c>
      <c r="AZ524" s="49" t="str">
        <f t="shared" si="141"/>
        <v/>
      </c>
      <c r="BA524" s="132" t="str">
        <f t="shared" si="142"/>
        <v/>
      </c>
      <c r="BB524" s="52" t="str">
        <f>IF(AF524&lt;&gt;"",Output!O12,"")</f>
        <v/>
      </c>
      <c r="BC524" s="49" t="str">
        <f t="shared" si="143"/>
        <v/>
      </c>
      <c r="BD524" s="49" t="str">
        <f t="shared" si="144"/>
        <v/>
      </c>
      <c r="BE524" s="49" t="str">
        <f t="shared" si="145"/>
        <v/>
      </c>
      <c r="BF524" s="48" t="str">
        <f t="shared" si="146"/>
        <v/>
      </c>
      <c r="BG524" s="52" t="str">
        <f>IF(AK524&lt;&gt;"",Output!P12,"")</f>
        <v/>
      </c>
      <c r="BH524" s="49" t="str">
        <f t="shared" si="147"/>
        <v/>
      </c>
      <c r="BI524" s="49" t="str">
        <f t="shared" si="148"/>
        <v/>
      </c>
      <c r="BJ524" s="49" t="str">
        <f t="shared" si="149"/>
        <v/>
      </c>
      <c r="BK524" s="48" t="str">
        <f t="shared" si="150"/>
        <v/>
      </c>
      <c r="BL524" s="52" t="str">
        <f>IF(AP524&lt;&gt;"",Output!Q12,"")</f>
        <v/>
      </c>
      <c r="BM524" s="49" t="str">
        <f t="shared" si="151"/>
        <v/>
      </c>
      <c r="BN524" s="49" t="str">
        <f t="shared" si="152"/>
        <v/>
      </c>
      <c r="BO524" s="49" t="str">
        <f t="shared" si="153"/>
        <v/>
      </c>
      <c r="BP524" s="48" t="str">
        <f t="shared" si="154"/>
        <v/>
      </c>
      <c r="BQ524" s="52" t="str">
        <f>IF(AU524&lt;&gt;"",Output!R12,"")</f>
        <v/>
      </c>
      <c r="BR524" s="49" t="str">
        <f t="shared" si="155"/>
        <v/>
      </c>
      <c r="BS524" s="49" t="str">
        <f t="shared" si="156"/>
        <v/>
      </c>
      <c r="BT524" s="49" t="str">
        <f t="shared" si="157"/>
        <v/>
      </c>
      <c r="BU524" s="48" t="str">
        <f t="shared" si="158"/>
        <v/>
      </c>
    </row>
    <row r="525" spans="2:73" x14ac:dyDescent="0.25">
      <c r="B525" s="58" t="str">
        <f t="shared" si="102"/>
        <v/>
      </c>
      <c r="C525" s="132" t="str">
        <f t="shared" si="42"/>
        <v/>
      </c>
      <c r="D525" s="52" t="str">
        <f t="shared" si="43"/>
        <v/>
      </c>
      <c r="E525" s="49" t="str">
        <f t="shared" si="103"/>
        <v/>
      </c>
      <c r="F525" s="49" t="str">
        <f t="shared" si="104"/>
        <v/>
      </c>
      <c r="G525" s="49" t="str">
        <f t="shared" si="105"/>
        <v/>
      </c>
      <c r="H525" s="48" t="str">
        <f t="shared" si="106"/>
        <v/>
      </c>
      <c r="I525" s="52" t="str">
        <f t="shared" si="48"/>
        <v/>
      </c>
      <c r="J525" s="49" t="str">
        <f t="shared" si="107"/>
        <v/>
      </c>
      <c r="K525" s="49" t="str">
        <f t="shared" si="108"/>
        <v/>
      </c>
      <c r="L525" s="49" t="str">
        <f t="shared" si="109"/>
        <v/>
      </c>
      <c r="M525" s="132" t="str">
        <f t="shared" si="110"/>
        <v/>
      </c>
      <c r="N525" s="52" t="str">
        <f t="shared" si="53"/>
        <v/>
      </c>
      <c r="O525" s="49" t="str">
        <f t="shared" si="111"/>
        <v/>
      </c>
      <c r="P525" s="49" t="str">
        <f t="shared" si="112"/>
        <v/>
      </c>
      <c r="Q525" s="49" t="str">
        <f t="shared" si="113"/>
        <v/>
      </c>
      <c r="R525" s="48" t="str">
        <f t="shared" si="114"/>
        <v/>
      </c>
      <c r="S525" s="52" t="str">
        <f>IF($B525="","",IF(upper.limit,F380,F479))</f>
        <v/>
      </c>
      <c r="T525" s="49" t="str">
        <f t="shared" si="115"/>
        <v/>
      </c>
      <c r="U525" s="49" t="str">
        <f t="shared" si="116"/>
        <v/>
      </c>
      <c r="V525" s="49" t="str">
        <f t="shared" si="117"/>
        <v/>
      </c>
      <c r="W525" s="48" t="str">
        <f t="shared" si="118"/>
        <v/>
      </c>
      <c r="X525" s="52" t="str">
        <f>IF(B525&lt;&gt;"",Output!I13,"")</f>
        <v/>
      </c>
      <c r="Y525" s="49" t="str">
        <f t="shared" si="119"/>
        <v/>
      </c>
      <c r="Z525" s="49" t="str">
        <f t="shared" si="120"/>
        <v/>
      </c>
      <c r="AA525" s="49" t="str">
        <f t="shared" si="121"/>
        <v/>
      </c>
      <c r="AB525" s="48" t="str">
        <f t="shared" si="122"/>
        <v/>
      </c>
      <c r="AC525" s="136" t="str">
        <f>IF(G525&lt;&gt;"",Output!J13,"")</f>
        <v/>
      </c>
      <c r="AD525" s="49" t="str">
        <f t="shared" si="123"/>
        <v/>
      </c>
      <c r="AE525" s="49" t="str">
        <f t="shared" si="124"/>
        <v/>
      </c>
      <c r="AF525" s="49" t="str">
        <f t="shared" si="125"/>
        <v/>
      </c>
      <c r="AG525" s="132" t="str">
        <f t="shared" si="126"/>
        <v/>
      </c>
      <c r="AH525" s="52" t="str">
        <f>IF(L525&lt;&gt;"",Output!K13,"")</f>
        <v/>
      </c>
      <c r="AI525" s="49" t="str">
        <f t="shared" si="127"/>
        <v/>
      </c>
      <c r="AJ525" s="49" t="str">
        <f t="shared" si="128"/>
        <v/>
      </c>
      <c r="AK525" s="49" t="str">
        <f t="shared" si="129"/>
        <v/>
      </c>
      <c r="AL525" s="48" t="str">
        <f t="shared" si="130"/>
        <v/>
      </c>
      <c r="AM525" s="52" t="str">
        <f>IF(Q525&lt;&gt;"",Output!L13,"")</f>
        <v/>
      </c>
      <c r="AN525" s="49" t="str">
        <f t="shared" si="131"/>
        <v/>
      </c>
      <c r="AO525" s="49" t="str">
        <f t="shared" si="132"/>
        <v/>
      </c>
      <c r="AP525" s="49" t="str">
        <f t="shared" si="133"/>
        <v/>
      </c>
      <c r="AQ525" s="48" t="str">
        <f t="shared" si="134"/>
        <v/>
      </c>
      <c r="AR525" s="52" t="str">
        <f>IF(V525&lt;&gt;"",Output!M13,"")</f>
        <v/>
      </c>
      <c r="AS525" s="49" t="str">
        <f t="shared" si="135"/>
        <v/>
      </c>
      <c r="AT525" s="49" t="str">
        <f t="shared" si="136"/>
        <v/>
      </c>
      <c r="AU525" s="49" t="str">
        <f t="shared" si="137"/>
        <v/>
      </c>
      <c r="AV525" s="48" t="str">
        <f t="shared" si="138"/>
        <v/>
      </c>
      <c r="AW525" s="136" t="str">
        <f>IF(AA525&lt;&gt;"",Output!N13,"")</f>
        <v/>
      </c>
      <c r="AX525" s="49" t="str">
        <f t="shared" si="139"/>
        <v/>
      </c>
      <c r="AY525" s="49" t="str">
        <f t="shared" si="140"/>
        <v/>
      </c>
      <c r="AZ525" s="49" t="str">
        <f t="shared" si="141"/>
        <v/>
      </c>
      <c r="BA525" s="132" t="str">
        <f t="shared" si="142"/>
        <v/>
      </c>
      <c r="BB525" s="52" t="str">
        <f>IF(AF525&lt;&gt;"",Output!O13,"")</f>
        <v/>
      </c>
      <c r="BC525" s="49" t="str">
        <f t="shared" si="143"/>
        <v/>
      </c>
      <c r="BD525" s="49" t="str">
        <f t="shared" si="144"/>
        <v/>
      </c>
      <c r="BE525" s="49" t="str">
        <f t="shared" si="145"/>
        <v/>
      </c>
      <c r="BF525" s="48" t="str">
        <f t="shared" si="146"/>
        <v/>
      </c>
      <c r="BG525" s="52" t="str">
        <f>IF(AK525&lt;&gt;"",Output!P13,"")</f>
        <v/>
      </c>
      <c r="BH525" s="49" t="str">
        <f t="shared" si="147"/>
        <v/>
      </c>
      <c r="BI525" s="49" t="str">
        <f t="shared" si="148"/>
        <v/>
      </c>
      <c r="BJ525" s="49" t="str">
        <f t="shared" si="149"/>
        <v/>
      </c>
      <c r="BK525" s="48" t="str">
        <f t="shared" si="150"/>
        <v/>
      </c>
      <c r="BL525" s="52" t="str">
        <f>IF(AP525&lt;&gt;"",Output!Q13,"")</f>
        <v/>
      </c>
      <c r="BM525" s="49" t="str">
        <f t="shared" si="151"/>
        <v/>
      </c>
      <c r="BN525" s="49" t="str">
        <f t="shared" si="152"/>
        <v/>
      </c>
      <c r="BO525" s="49" t="str">
        <f t="shared" si="153"/>
        <v/>
      </c>
      <c r="BP525" s="48" t="str">
        <f t="shared" si="154"/>
        <v/>
      </c>
      <c r="BQ525" s="52" t="str">
        <f>IF(AU525&lt;&gt;"",Output!R13,"")</f>
        <v/>
      </c>
      <c r="BR525" s="49" t="str">
        <f t="shared" si="155"/>
        <v/>
      </c>
      <c r="BS525" s="49" t="str">
        <f t="shared" si="156"/>
        <v/>
      </c>
      <c r="BT525" s="49" t="str">
        <f t="shared" si="157"/>
        <v/>
      </c>
      <c r="BU525" s="48" t="str">
        <f t="shared" si="158"/>
        <v/>
      </c>
    </row>
    <row r="526" spans="2:73" x14ac:dyDescent="0.25">
      <c r="B526" s="58" t="str">
        <f t="shared" si="102"/>
        <v/>
      </c>
      <c r="C526" s="132" t="str">
        <f t="shared" si="42"/>
        <v/>
      </c>
      <c r="D526" s="52" t="str">
        <f t="shared" si="43"/>
        <v/>
      </c>
      <c r="E526" s="49" t="str">
        <f t="shared" si="103"/>
        <v/>
      </c>
      <c r="F526" s="49" t="str">
        <f t="shared" si="104"/>
        <v/>
      </c>
      <c r="G526" s="49" t="str">
        <f t="shared" si="105"/>
        <v/>
      </c>
      <c r="H526" s="48" t="str">
        <f t="shared" si="106"/>
        <v/>
      </c>
      <c r="I526" s="52" t="str">
        <f t="shared" si="48"/>
        <v/>
      </c>
      <c r="J526" s="49" t="str">
        <f t="shared" si="107"/>
        <v/>
      </c>
      <c r="K526" s="49" t="str">
        <f t="shared" si="108"/>
        <v/>
      </c>
      <c r="L526" s="49" t="str">
        <f t="shared" si="109"/>
        <v/>
      </c>
      <c r="M526" s="132" t="str">
        <f t="shared" si="110"/>
        <v/>
      </c>
      <c r="N526" s="52" t="str">
        <f t="shared" si="53"/>
        <v/>
      </c>
      <c r="O526" s="49" t="str">
        <f t="shared" si="111"/>
        <v/>
      </c>
      <c r="P526" s="49" t="str">
        <f t="shared" si="112"/>
        <v/>
      </c>
      <c r="Q526" s="49" t="str">
        <f t="shared" si="113"/>
        <v/>
      </c>
      <c r="R526" s="48" t="str">
        <f t="shared" si="114"/>
        <v/>
      </c>
      <c r="S526" s="52" t="str">
        <f>IF($B526="","",IF(upper.limit,F381,F480))</f>
        <v/>
      </c>
      <c r="T526" s="49" t="str">
        <f t="shared" si="115"/>
        <v/>
      </c>
      <c r="U526" s="49" t="str">
        <f t="shared" si="116"/>
        <v/>
      </c>
      <c r="V526" s="49" t="str">
        <f t="shared" si="117"/>
        <v/>
      </c>
      <c r="W526" s="48" t="str">
        <f t="shared" si="118"/>
        <v/>
      </c>
      <c r="X526" s="52" t="str">
        <f>IF(B526&lt;&gt;"",Output!I14,"")</f>
        <v/>
      </c>
      <c r="Y526" s="49" t="str">
        <f t="shared" si="119"/>
        <v/>
      </c>
      <c r="Z526" s="49" t="str">
        <f t="shared" si="120"/>
        <v/>
      </c>
      <c r="AA526" s="49" t="str">
        <f t="shared" si="121"/>
        <v/>
      </c>
      <c r="AB526" s="48" t="str">
        <f t="shared" si="122"/>
        <v/>
      </c>
      <c r="AC526" s="136" t="str">
        <f>IF(G526&lt;&gt;"",Output!J14,"")</f>
        <v/>
      </c>
      <c r="AD526" s="49" t="str">
        <f t="shared" si="123"/>
        <v/>
      </c>
      <c r="AE526" s="49" t="str">
        <f t="shared" si="124"/>
        <v/>
      </c>
      <c r="AF526" s="49" t="str">
        <f t="shared" si="125"/>
        <v/>
      </c>
      <c r="AG526" s="132" t="str">
        <f t="shared" si="126"/>
        <v/>
      </c>
      <c r="AH526" s="52" t="str">
        <f>IF(L526&lt;&gt;"",Output!K14,"")</f>
        <v/>
      </c>
      <c r="AI526" s="49" t="str">
        <f t="shared" si="127"/>
        <v/>
      </c>
      <c r="AJ526" s="49" t="str">
        <f t="shared" si="128"/>
        <v/>
      </c>
      <c r="AK526" s="49" t="str">
        <f t="shared" si="129"/>
        <v/>
      </c>
      <c r="AL526" s="48" t="str">
        <f t="shared" si="130"/>
        <v/>
      </c>
      <c r="AM526" s="52" t="str">
        <f>IF(Q526&lt;&gt;"",Output!L14,"")</f>
        <v/>
      </c>
      <c r="AN526" s="49" t="str">
        <f t="shared" si="131"/>
        <v/>
      </c>
      <c r="AO526" s="49" t="str">
        <f t="shared" si="132"/>
        <v/>
      </c>
      <c r="AP526" s="49" t="str">
        <f t="shared" si="133"/>
        <v/>
      </c>
      <c r="AQ526" s="48" t="str">
        <f t="shared" si="134"/>
        <v/>
      </c>
      <c r="AR526" s="52" t="str">
        <f>IF(V526&lt;&gt;"",Output!M14,"")</f>
        <v/>
      </c>
      <c r="AS526" s="49" t="str">
        <f t="shared" si="135"/>
        <v/>
      </c>
      <c r="AT526" s="49" t="str">
        <f t="shared" si="136"/>
        <v/>
      </c>
      <c r="AU526" s="49" t="str">
        <f t="shared" si="137"/>
        <v/>
      </c>
      <c r="AV526" s="48" t="str">
        <f t="shared" si="138"/>
        <v/>
      </c>
      <c r="AW526" s="136" t="str">
        <f>IF(AA526&lt;&gt;"",Output!N14,"")</f>
        <v/>
      </c>
      <c r="AX526" s="49" t="str">
        <f t="shared" si="139"/>
        <v/>
      </c>
      <c r="AY526" s="49" t="str">
        <f t="shared" si="140"/>
        <v/>
      </c>
      <c r="AZ526" s="49" t="str">
        <f t="shared" si="141"/>
        <v/>
      </c>
      <c r="BA526" s="132" t="str">
        <f t="shared" si="142"/>
        <v/>
      </c>
      <c r="BB526" s="52" t="str">
        <f>IF(AF526&lt;&gt;"",Output!O14,"")</f>
        <v/>
      </c>
      <c r="BC526" s="49" t="str">
        <f t="shared" si="143"/>
        <v/>
      </c>
      <c r="BD526" s="49" t="str">
        <f t="shared" si="144"/>
        <v/>
      </c>
      <c r="BE526" s="49" t="str">
        <f t="shared" si="145"/>
        <v/>
      </c>
      <c r="BF526" s="48" t="str">
        <f t="shared" si="146"/>
        <v/>
      </c>
      <c r="BG526" s="52" t="str">
        <f>IF(AK526&lt;&gt;"",Output!P14,"")</f>
        <v/>
      </c>
      <c r="BH526" s="49" t="str">
        <f t="shared" si="147"/>
        <v/>
      </c>
      <c r="BI526" s="49" t="str">
        <f t="shared" si="148"/>
        <v/>
      </c>
      <c r="BJ526" s="49" t="str">
        <f t="shared" si="149"/>
        <v/>
      </c>
      <c r="BK526" s="48" t="str">
        <f t="shared" si="150"/>
        <v/>
      </c>
      <c r="BL526" s="52" t="str">
        <f>IF(AP526&lt;&gt;"",Output!Q14,"")</f>
        <v/>
      </c>
      <c r="BM526" s="49" t="str">
        <f t="shared" si="151"/>
        <v/>
      </c>
      <c r="BN526" s="49" t="str">
        <f t="shared" si="152"/>
        <v/>
      </c>
      <c r="BO526" s="49" t="str">
        <f t="shared" si="153"/>
        <v/>
      </c>
      <c r="BP526" s="48" t="str">
        <f t="shared" si="154"/>
        <v/>
      </c>
      <c r="BQ526" s="52" t="str">
        <f>IF(AU526&lt;&gt;"",Output!R14,"")</f>
        <v/>
      </c>
      <c r="BR526" s="49" t="str">
        <f t="shared" si="155"/>
        <v/>
      </c>
      <c r="BS526" s="49" t="str">
        <f t="shared" si="156"/>
        <v/>
      </c>
      <c r="BT526" s="49" t="str">
        <f t="shared" si="157"/>
        <v/>
      </c>
      <c r="BU526" s="48" t="str">
        <f t="shared" si="158"/>
        <v/>
      </c>
    </row>
    <row r="527" spans="2:73" x14ac:dyDescent="0.25">
      <c r="B527" s="58">
        <f t="shared" si="102"/>
        <v>1990</v>
      </c>
      <c r="C527" s="132">
        <f t="shared" si="42"/>
        <v>545.83699999999999</v>
      </c>
      <c r="D527" s="52">
        <f t="shared" si="43"/>
        <v>561.50400000000002</v>
      </c>
      <c r="E527" s="49">
        <f t="shared" si="103"/>
        <v>15.66700000000003</v>
      </c>
      <c r="F527" s="49">
        <f t="shared" si="104"/>
        <v>15.66700000000003</v>
      </c>
      <c r="G527" s="49">
        <f t="shared" si="105"/>
        <v>2.8702707951274888</v>
      </c>
      <c r="H527" s="48">
        <f t="shared" si="106"/>
        <v>2.8702707951274888</v>
      </c>
      <c r="I527" s="52">
        <f t="shared" si="48"/>
        <v>560.62800000000004</v>
      </c>
      <c r="J527" s="49">
        <f t="shared" si="107"/>
        <v>14.791000000000054</v>
      </c>
      <c r="K527" s="49">
        <f t="shared" si="108"/>
        <v>14.791000000000054</v>
      </c>
      <c r="L527" s="49">
        <f t="shared" si="109"/>
        <v>2.7097833235929505</v>
      </c>
      <c r="M527" s="132">
        <f t="shared" si="110"/>
        <v>2.7097833235929505</v>
      </c>
      <c r="N527" s="52">
        <f t="shared" si="53"/>
        <v>545.83699999999999</v>
      </c>
      <c r="O527" s="49">
        <f t="shared" si="111"/>
        <v>0</v>
      </c>
      <c r="P527" s="49">
        <f t="shared" si="112"/>
        <v>0</v>
      </c>
      <c r="Q527" s="49">
        <f t="shared" si="113"/>
        <v>0</v>
      </c>
      <c r="R527" s="48">
        <f t="shared" si="114"/>
        <v>0</v>
      </c>
      <c r="S527" s="52">
        <f>IF($B527="","",IF(upper.limit,F382,F481))</f>
        <v>562.24099999999999</v>
      </c>
      <c r="T527" s="49">
        <f t="shared" si="115"/>
        <v>16.403999999999996</v>
      </c>
      <c r="U527" s="49">
        <f t="shared" si="116"/>
        <v>16.403999999999996</v>
      </c>
      <c r="V527" s="49">
        <f t="shared" si="117"/>
        <v>3.0052927888728682</v>
      </c>
      <c r="W527" s="48">
        <f t="shared" si="118"/>
        <v>3.0052927888728682</v>
      </c>
      <c r="X527" s="52">
        <f>IF(B527&lt;&gt;"",Output!I15,"")</f>
        <v>557.553</v>
      </c>
      <c r="Y527" s="49">
        <f t="shared" si="119"/>
        <v>11.716000000000008</v>
      </c>
      <c r="Z527" s="49">
        <f t="shared" si="120"/>
        <v>11.716000000000008</v>
      </c>
      <c r="AA527" s="49">
        <f t="shared" si="121"/>
        <v>2.1464283293364153</v>
      </c>
      <c r="AB527" s="48">
        <f t="shared" si="122"/>
        <v>2.1464283293364153</v>
      </c>
      <c r="AC527" s="136">
        <f>IF(G527&lt;&gt;"",Output!J15,"")</f>
        <v>555.99</v>
      </c>
      <c r="AD527" s="49">
        <f t="shared" si="123"/>
        <v>10.15300000000002</v>
      </c>
      <c r="AE527" s="49">
        <f t="shared" si="124"/>
        <v>10.15300000000002</v>
      </c>
      <c r="AF527" s="49">
        <f t="shared" si="125"/>
        <v>1.8600791078655385</v>
      </c>
      <c r="AG527" s="132">
        <f t="shared" si="126"/>
        <v>1.8600791078655385</v>
      </c>
      <c r="AH527" s="52">
        <f>IF(L527&lt;&gt;"",Output!K15,"")</f>
        <v>556.52700000000004</v>
      </c>
      <c r="AI527" s="49">
        <f t="shared" si="127"/>
        <v>10.690000000000055</v>
      </c>
      <c r="AJ527" s="49">
        <f t="shared" si="128"/>
        <v>10.690000000000055</v>
      </c>
      <c r="AK527" s="49">
        <f t="shared" si="129"/>
        <v>1.9584601263747337</v>
      </c>
      <c r="AL527" s="48">
        <f t="shared" si="130"/>
        <v>1.9584601263747337</v>
      </c>
      <c r="AM527" s="52">
        <f>IF(Q527&lt;&gt;"",Output!L15,"")</f>
        <v>556.23500000000001</v>
      </c>
      <c r="AN527" s="49">
        <f t="shared" si="131"/>
        <v>10.398000000000025</v>
      </c>
      <c r="AO527" s="49">
        <f t="shared" si="132"/>
        <v>10.398000000000025</v>
      </c>
      <c r="AP527" s="49">
        <f t="shared" si="133"/>
        <v>1.9049643025298806</v>
      </c>
      <c r="AQ527" s="48">
        <f t="shared" si="134"/>
        <v>1.9049643025298806</v>
      </c>
      <c r="AR527" s="52">
        <f>IF(V527&lt;&gt;"",Output!M15,"")</f>
        <v>561.06600000000003</v>
      </c>
      <c r="AS527" s="49">
        <f t="shared" si="135"/>
        <v>15.229000000000042</v>
      </c>
      <c r="AT527" s="49">
        <f t="shared" si="136"/>
        <v>15.229000000000042</v>
      </c>
      <c r="AU527" s="49">
        <f t="shared" si="137"/>
        <v>2.7900270593602197</v>
      </c>
      <c r="AV527" s="48">
        <f t="shared" si="138"/>
        <v>2.7900270593602197</v>
      </c>
      <c r="AW527" s="136">
        <f>IF(AA527&lt;&gt;"",Output!N15,"")</f>
        <v>553.67100000000005</v>
      </c>
      <c r="AX527" s="49">
        <f t="shared" si="139"/>
        <v>7.83400000000006</v>
      </c>
      <c r="AY527" s="49">
        <f t="shared" si="140"/>
        <v>7.83400000000006</v>
      </c>
      <c r="AZ527" s="49">
        <f t="shared" si="141"/>
        <v>1.435227000001843</v>
      </c>
      <c r="BA527" s="132">
        <f t="shared" si="142"/>
        <v>1.435227000001843</v>
      </c>
      <c r="BB527" s="52">
        <f>IF(AF527&lt;&gt;"",Output!O15,"")</f>
        <v>561.87300000000005</v>
      </c>
      <c r="BC527" s="49">
        <f t="shared" si="143"/>
        <v>16.036000000000058</v>
      </c>
      <c r="BD527" s="49">
        <f t="shared" si="144"/>
        <v>16.036000000000058</v>
      </c>
      <c r="BE527" s="49">
        <f t="shared" si="145"/>
        <v>2.9378733944382769</v>
      </c>
      <c r="BF527" s="48">
        <f t="shared" si="146"/>
        <v>2.9378733944382769</v>
      </c>
      <c r="BG527" s="52">
        <f>IF(AK527&lt;&gt;"",Output!P15,"")</f>
        <v>553.23299999999995</v>
      </c>
      <c r="BH527" s="49">
        <f t="shared" si="147"/>
        <v>7.3959999999999582</v>
      </c>
      <c r="BI527" s="49">
        <f t="shared" si="148"/>
        <v>7.3959999999999582</v>
      </c>
      <c r="BJ527" s="49">
        <f t="shared" si="149"/>
        <v>1.3549832642345532</v>
      </c>
      <c r="BK527" s="48">
        <f t="shared" si="150"/>
        <v>1.3549832642345532</v>
      </c>
      <c r="BL527" s="52">
        <f>IF(AP527&lt;&gt;"",Output!Q15,"")</f>
        <v>561.43499999999995</v>
      </c>
      <c r="BM527" s="49">
        <f t="shared" si="151"/>
        <v>15.597999999999956</v>
      </c>
      <c r="BN527" s="49">
        <f t="shared" si="152"/>
        <v>15.597999999999956</v>
      </c>
      <c r="BO527" s="49">
        <f t="shared" si="153"/>
        <v>2.8576296586709873</v>
      </c>
      <c r="BP527" s="48">
        <f t="shared" si="154"/>
        <v>2.8576296586709873</v>
      </c>
      <c r="BQ527" s="52">
        <f>IF(AU527&lt;&gt;"",Output!R15,"")</f>
        <v>554.03899999999999</v>
      </c>
      <c r="BR527" s="49">
        <f t="shared" si="155"/>
        <v>8.2019999999999982</v>
      </c>
      <c r="BS527" s="49">
        <f t="shared" si="156"/>
        <v>8.2019999999999982</v>
      </c>
      <c r="BT527" s="49">
        <f t="shared" si="157"/>
        <v>1.5026463944364341</v>
      </c>
      <c r="BU527" s="48">
        <f t="shared" si="158"/>
        <v>1.5026463944364341</v>
      </c>
    </row>
    <row r="528" spans="2:73" x14ac:dyDescent="0.25">
      <c r="B528" s="58">
        <f t="shared" si="102"/>
        <v>2000</v>
      </c>
      <c r="C528" s="132">
        <f t="shared" si="42"/>
        <v>665.86500000000001</v>
      </c>
      <c r="D528" s="52">
        <f t="shared" si="43"/>
        <v>634.53200000000004</v>
      </c>
      <c r="E528" s="49">
        <f t="shared" si="103"/>
        <v>-31.33299999999997</v>
      </c>
      <c r="F528" s="49">
        <f t="shared" si="104"/>
        <v>31.33299999999997</v>
      </c>
      <c r="G528" s="49">
        <f t="shared" si="105"/>
        <v>-4.705608494214288</v>
      </c>
      <c r="H528" s="48">
        <f t="shared" si="106"/>
        <v>4.705608494214288</v>
      </c>
      <c r="I528" s="52">
        <f t="shared" si="48"/>
        <v>631.19399999999996</v>
      </c>
      <c r="J528" s="49">
        <f t="shared" si="107"/>
        <v>-34.671000000000049</v>
      </c>
      <c r="K528" s="49">
        <f t="shared" si="108"/>
        <v>34.671000000000049</v>
      </c>
      <c r="L528" s="49">
        <f t="shared" si="109"/>
        <v>-5.2069113108513063</v>
      </c>
      <c r="M528" s="132">
        <f t="shared" si="110"/>
        <v>5.2069113108513063</v>
      </c>
      <c r="N528" s="52">
        <f t="shared" si="53"/>
        <v>665.86500000000001</v>
      </c>
      <c r="O528" s="49">
        <f t="shared" si="111"/>
        <v>0</v>
      </c>
      <c r="P528" s="49">
        <f t="shared" si="112"/>
        <v>0</v>
      </c>
      <c r="Q528" s="49">
        <f t="shared" si="113"/>
        <v>0</v>
      </c>
      <c r="R528" s="48">
        <f t="shared" si="114"/>
        <v>0</v>
      </c>
      <c r="S528" s="52">
        <f>IF($B528="","",IF(upper.limit,F383,F482))</f>
        <v>638.72299999999996</v>
      </c>
      <c r="T528" s="49">
        <f t="shared" si="115"/>
        <v>-27.142000000000053</v>
      </c>
      <c r="U528" s="49">
        <f t="shared" si="116"/>
        <v>27.142000000000053</v>
      </c>
      <c r="V528" s="49">
        <f t="shared" si="117"/>
        <v>-4.0762016324630448</v>
      </c>
      <c r="W528" s="48">
        <f t="shared" si="118"/>
        <v>4.0762016324630448</v>
      </c>
      <c r="X528" s="52">
        <f>IF(B528&lt;&gt;"",Output!I16,"")</f>
        <v>642.57899999999995</v>
      </c>
      <c r="Y528" s="49">
        <f t="shared" si="119"/>
        <v>-23.286000000000058</v>
      </c>
      <c r="Z528" s="49">
        <f t="shared" si="120"/>
        <v>23.286000000000058</v>
      </c>
      <c r="AA528" s="49">
        <f t="shared" si="121"/>
        <v>-3.4971052690860849</v>
      </c>
      <c r="AB528" s="48">
        <f t="shared" si="122"/>
        <v>3.4971052690860849</v>
      </c>
      <c r="AC528" s="136">
        <f>IF(G528&lt;&gt;"",Output!J16,"")</f>
        <v>643.86400000000003</v>
      </c>
      <c r="AD528" s="49">
        <f t="shared" si="123"/>
        <v>-22.000999999999976</v>
      </c>
      <c r="AE528" s="49">
        <f t="shared" si="124"/>
        <v>22.000999999999976</v>
      </c>
      <c r="AF528" s="49">
        <f t="shared" si="125"/>
        <v>-3.3041232081578062</v>
      </c>
      <c r="AG528" s="132">
        <f t="shared" si="126"/>
        <v>3.3041232081578062</v>
      </c>
      <c r="AH528" s="52">
        <f>IF(L528&lt;&gt;"",Output!K16,"")</f>
        <v>646.37300000000005</v>
      </c>
      <c r="AI528" s="49">
        <f t="shared" si="127"/>
        <v>-19.491999999999962</v>
      </c>
      <c r="AJ528" s="49">
        <f t="shared" si="128"/>
        <v>19.491999999999962</v>
      </c>
      <c r="AK528" s="49">
        <f t="shared" si="129"/>
        <v>-2.9273201024231579</v>
      </c>
      <c r="AL528" s="48">
        <f t="shared" si="130"/>
        <v>2.9273201024231579</v>
      </c>
      <c r="AM528" s="52">
        <f>IF(Q528&lt;&gt;"",Output!L16,"")</f>
        <v>645.26099999999997</v>
      </c>
      <c r="AN528" s="49">
        <f t="shared" si="131"/>
        <v>-20.604000000000042</v>
      </c>
      <c r="AO528" s="49">
        <f t="shared" si="132"/>
        <v>20.604000000000042</v>
      </c>
      <c r="AP528" s="49">
        <f t="shared" si="133"/>
        <v>-3.0943209209073972</v>
      </c>
      <c r="AQ528" s="48">
        <f t="shared" si="134"/>
        <v>3.0943209209073972</v>
      </c>
      <c r="AR528" s="52">
        <f>IF(V528&lt;&gt;"",Output!M16,"")</f>
        <v>632.86300000000006</v>
      </c>
      <c r="AS528" s="49">
        <f t="shared" si="135"/>
        <v>-33.001999999999953</v>
      </c>
      <c r="AT528" s="49">
        <f t="shared" si="136"/>
        <v>33.001999999999953</v>
      </c>
      <c r="AU528" s="49">
        <f t="shared" si="137"/>
        <v>-4.9562599025327883</v>
      </c>
      <c r="AV528" s="48">
        <f t="shared" si="138"/>
        <v>4.9562599025327883</v>
      </c>
      <c r="AW528" s="136">
        <f>IF(AA528&lt;&gt;"",Output!N16,"")</f>
        <v>650.19899999999996</v>
      </c>
      <c r="AX528" s="49">
        <f t="shared" si="139"/>
        <v>-15.666000000000054</v>
      </c>
      <c r="AY528" s="49">
        <f t="shared" si="140"/>
        <v>15.666000000000054</v>
      </c>
      <c r="AZ528" s="49">
        <f t="shared" si="141"/>
        <v>-2.3527291568110735</v>
      </c>
      <c r="BA528" s="132">
        <f t="shared" si="142"/>
        <v>2.3527291568110735</v>
      </c>
      <c r="BB528" s="52">
        <f>IF(AF528&lt;&gt;"",Output!O16,"")</f>
        <v>636.62800000000004</v>
      </c>
      <c r="BC528" s="49">
        <f t="shared" si="143"/>
        <v>-29.236999999999966</v>
      </c>
      <c r="BD528" s="49">
        <f t="shared" si="144"/>
        <v>29.236999999999966</v>
      </c>
      <c r="BE528" s="49">
        <f t="shared" si="145"/>
        <v>-4.390829973042579</v>
      </c>
      <c r="BF528" s="48">
        <f t="shared" si="146"/>
        <v>4.390829973042579</v>
      </c>
      <c r="BG528" s="52">
        <f>IF(AK528&lt;&gt;"",Output!P16,"")</f>
        <v>648.53</v>
      </c>
      <c r="BH528" s="49">
        <f t="shared" si="147"/>
        <v>-17.335000000000036</v>
      </c>
      <c r="BI528" s="49">
        <f t="shared" si="148"/>
        <v>17.335000000000036</v>
      </c>
      <c r="BJ528" s="49">
        <f t="shared" si="149"/>
        <v>-2.6033805651295738</v>
      </c>
      <c r="BK528" s="48">
        <f t="shared" si="150"/>
        <v>2.6033805651295738</v>
      </c>
      <c r="BL528" s="52">
        <f>IF(AP528&lt;&gt;"",Output!Q16,"")</f>
        <v>634.95899999999995</v>
      </c>
      <c r="BM528" s="49">
        <f t="shared" si="151"/>
        <v>-30.906000000000063</v>
      </c>
      <c r="BN528" s="49">
        <f t="shared" si="152"/>
        <v>30.906000000000063</v>
      </c>
      <c r="BO528" s="49">
        <f t="shared" si="153"/>
        <v>-4.6414813813610962</v>
      </c>
      <c r="BP528" s="48">
        <f t="shared" si="154"/>
        <v>4.6414813813610962</v>
      </c>
      <c r="BQ528" s="52">
        <f>IF(AU528&lt;&gt;"",Output!R16,"")</f>
        <v>652.29399999999998</v>
      </c>
      <c r="BR528" s="49">
        <f t="shared" si="155"/>
        <v>-13.571000000000026</v>
      </c>
      <c r="BS528" s="49">
        <f t="shared" si="156"/>
        <v>13.571000000000026</v>
      </c>
      <c r="BT528" s="49">
        <f t="shared" si="157"/>
        <v>-2.0381008162315224</v>
      </c>
      <c r="BU528" s="48">
        <f t="shared" si="158"/>
        <v>2.0381008162315224</v>
      </c>
    </row>
    <row r="529" spans="2:73" x14ac:dyDescent="0.25">
      <c r="B529" s="58">
        <f t="shared" si="102"/>
        <v>2010</v>
      </c>
      <c r="C529" s="132">
        <f t="shared" si="42"/>
        <v>691.89300000000003</v>
      </c>
      <c r="D529" s="52">
        <f t="shared" si="43"/>
        <v>707.56</v>
      </c>
      <c r="E529" s="49">
        <f t="shared" si="103"/>
        <v>15.666999999999916</v>
      </c>
      <c r="F529" s="49">
        <f t="shared" si="104"/>
        <v>15.666999999999916</v>
      </c>
      <c r="G529" s="49">
        <f t="shared" si="105"/>
        <v>2.2643674672239662</v>
      </c>
      <c r="H529" s="48">
        <f t="shared" si="106"/>
        <v>2.2643674672239662</v>
      </c>
      <c r="I529" s="52">
        <f t="shared" si="48"/>
        <v>710.64200000000005</v>
      </c>
      <c r="J529" s="49">
        <f t="shared" si="107"/>
        <v>18.749000000000024</v>
      </c>
      <c r="K529" s="49">
        <f t="shared" si="108"/>
        <v>18.749000000000024</v>
      </c>
      <c r="L529" s="49">
        <f t="shared" si="109"/>
        <v>2.7098120663166156</v>
      </c>
      <c r="M529" s="132">
        <f t="shared" si="110"/>
        <v>2.7098120663166156</v>
      </c>
      <c r="N529" s="52">
        <f t="shared" si="53"/>
        <v>691.89300000000003</v>
      </c>
      <c r="O529" s="49">
        <f t="shared" si="111"/>
        <v>0</v>
      </c>
      <c r="P529" s="49">
        <f t="shared" si="112"/>
        <v>0</v>
      </c>
      <c r="Q529" s="49">
        <f t="shared" si="113"/>
        <v>0</v>
      </c>
      <c r="R529" s="48">
        <f t="shared" si="114"/>
        <v>0</v>
      </c>
      <c r="S529" s="52">
        <f>IF($B529="","",IF(upper.limit,F384,F483))</f>
        <v>703.87900000000002</v>
      </c>
      <c r="T529" s="49">
        <f t="shared" si="115"/>
        <v>11.98599999999999</v>
      </c>
      <c r="U529" s="49">
        <f t="shared" si="116"/>
        <v>11.98599999999999</v>
      </c>
      <c r="V529" s="49">
        <f t="shared" si="117"/>
        <v>1.7323487880351425</v>
      </c>
      <c r="W529" s="48">
        <f t="shared" si="118"/>
        <v>1.7323487880351425</v>
      </c>
      <c r="X529" s="52">
        <f>IF(B529&lt;&gt;"",Output!I17,"")</f>
        <v>703.49400000000003</v>
      </c>
      <c r="Y529" s="49">
        <f t="shared" si="119"/>
        <v>11.600999999999999</v>
      </c>
      <c r="Z529" s="49">
        <f t="shared" si="120"/>
        <v>11.600999999999999</v>
      </c>
      <c r="AA529" s="49">
        <f t="shared" si="121"/>
        <v>1.6767043459031956</v>
      </c>
      <c r="AB529" s="48">
        <f t="shared" si="122"/>
        <v>1.6767043459031956</v>
      </c>
      <c r="AC529" s="136">
        <f>IF(G529&lt;&gt;"",Output!J17,"")</f>
        <v>703.36500000000001</v>
      </c>
      <c r="AD529" s="49">
        <f t="shared" si="123"/>
        <v>11.47199999999998</v>
      </c>
      <c r="AE529" s="49">
        <f t="shared" si="124"/>
        <v>11.47199999999998</v>
      </c>
      <c r="AF529" s="49">
        <f t="shared" si="125"/>
        <v>1.6580598445135275</v>
      </c>
      <c r="AG529" s="132">
        <f t="shared" si="126"/>
        <v>1.6580598445135275</v>
      </c>
      <c r="AH529" s="52">
        <f>IF(L529&lt;&gt;"",Output!K17,"")</f>
        <v>701.11099999999999</v>
      </c>
      <c r="AI529" s="49">
        <f t="shared" si="127"/>
        <v>9.2179999999999609</v>
      </c>
      <c r="AJ529" s="49">
        <f t="shared" si="128"/>
        <v>9.2179999999999609</v>
      </c>
      <c r="AK529" s="49">
        <f t="shared" si="129"/>
        <v>1.3322869287592098</v>
      </c>
      <c r="AL529" s="48">
        <f t="shared" si="130"/>
        <v>1.3322869287592098</v>
      </c>
      <c r="AM529" s="52">
        <f>IF(Q529&lt;&gt;"",Output!L17,"")</f>
        <v>702.13800000000003</v>
      </c>
      <c r="AN529" s="49">
        <f t="shared" si="131"/>
        <v>10.245000000000005</v>
      </c>
      <c r="AO529" s="49">
        <f t="shared" si="132"/>
        <v>10.245000000000005</v>
      </c>
      <c r="AP529" s="49">
        <f t="shared" si="133"/>
        <v>1.4807202847839196</v>
      </c>
      <c r="AQ529" s="48">
        <f t="shared" si="134"/>
        <v>1.4807202847839196</v>
      </c>
      <c r="AR529" s="52">
        <f>IF(V529&lt;&gt;"",Output!M17,"")</f>
        <v>709.101</v>
      </c>
      <c r="AS529" s="49">
        <f t="shared" si="135"/>
        <v>17.20799999999997</v>
      </c>
      <c r="AT529" s="49">
        <f t="shared" si="136"/>
        <v>17.20799999999997</v>
      </c>
      <c r="AU529" s="49">
        <f t="shared" si="137"/>
        <v>2.4870897667702909</v>
      </c>
      <c r="AV529" s="48">
        <f t="shared" si="138"/>
        <v>2.4870897667702909</v>
      </c>
      <c r="AW529" s="136">
        <f>IF(AA529&lt;&gt;"",Output!N17,"")</f>
        <v>699.72699999999998</v>
      </c>
      <c r="AX529" s="49">
        <f t="shared" si="139"/>
        <v>7.8339999999999463</v>
      </c>
      <c r="AY529" s="49">
        <f t="shared" si="140"/>
        <v>7.8339999999999463</v>
      </c>
      <c r="AZ529" s="49">
        <f t="shared" si="141"/>
        <v>1.1322559991212435</v>
      </c>
      <c r="BA529" s="132">
        <f t="shared" si="142"/>
        <v>1.1322559991212435</v>
      </c>
      <c r="BB529" s="52">
        <f>IF(AF529&lt;&gt;"",Output!O17,"")</f>
        <v>705.72</v>
      </c>
      <c r="BC529" s="49">
        <f t="shared" si="143"/>
        <v>13.826999999999998</v>
      </c>
      <c r="BD529" s="49">
        <f t="shared" si="144"/>
        <v>13.826999999999998</v>
      </c>
      <c r="BE529" s="49">
        <f t="shared" si="145"/>
        <v>1.9984303931388232</v>
      </c>
      <c r="BF529" s="48">
        <f t="shared" si="146"/>
        <v>1.9984303931388232</v>
      </c>
      <c r="BG529" s="52">
        <f>IF(AK529&lt;&gt;"",Output!P17,"")</f>
        <v>701.26800000000003</v>
      </c>
      <c r="BH529" s="49">
        <f t="shared" si="147"/>
        <v>9.375</v>
      </c>
      <c r="BI529" s="49">
        <f t="shared" si="148"/>
        <v>9.375</v>
      </c>
      <c r="BJ529" s="49">
        <f t="shared" si="149"/>
        <v>1.3549782986675685</v>
      </c>
      <c r="BK529" s="48">
        <f t="shared" si="150"/>
        <v>1.3549782986675685</v>
      </c>
      <c r="BL529" s="52">
        <f>IF(AP529&lt;&gt;"",Output!Q17,"")</f>
        <v>707.26099999999997</v>
      </c>
      <c r="BM529" s="49">
        <f t="shared" si="151"/>
        <v>15.367999999999938</v>
      </c>
      <c r="BN529" s="49">
        <f t="shared" si="152"/>
        <v>15.367999999999938</v>
      </c>
      <c r="BO529" s="49">
        <f t="shared" si="153"/>
        <v>2.2211526926851315</v>
      </c>
      <c r="BP529" s="48">
        <f t="shared" si="154"/>
        <v>2.2211526926851315</v>
      </c>
      <c r="BQ529" s="52">
        <f>IF(AU529&lt;&gt;"",Output!R17,"")</f>
        <v>697.88599999999997</v>
      </c>
      <c r="BR529" s="49">
        <f t="shared" si="155"/>
        <v>5.9929999999999382</v>
      </c>
      <c r="BS529" s="49">
        <f t="shared" si="156"/>
        <v>5.9929999999999382</v>
      </c>
      <c r="BT529" s="49">
        <f t="shared" si="157"/>
        <v>0.86617439401756313</v>
      </c>
      <c r="BU529" s="48">
        <f t="shared" si="158"/>
        <v>0.86617439401756313</v>
      </c>
    </row>
    <row r="530" spans="2:73" x14ac:dyDescent="0.25">
      <c r="B530" s="58" t="str">
        <f t="shared" si="102"/>
        <v/>
      </c>
      <c r="C530" s="132" t="str">
        <f t="shared" si="42"/>
        <v/>
      </c>
      <c r="D530" s="52" t="str">
        <f t="shared" si="43"/>
        <v/>
      </c>
      <c r="E530" s="49" t="str">
        <f t="shared" si="103"/>
        <v/>
      </c>
      <c r="F530" s="49" t="str">
        <f t="shared" si="104"/>
        <v/>
      </c>
      <c r="G530" s="49" t="str">
        <f t="shared" si="105"/>
        <v/>
      </c>
      <c r="H530" s="48" t="str">
        <f t="shared" si="106"/>
        <v/>
      </c>
      <c r="I530" s="52" t="str">
        <f t="shared" si="48"/>
        <v/>
      </c>
      <c r="J530" s="49" t="str">
        <f t="shared" si="107"/>
        <v/>
      </c>
      <c r="K530" s="49" t="str">
        <f t="shared" si="108"/>
        <v/>
      </c>
      <c r="L530" s="49" t="str">
        <f t="shared" si="109"/>
        <v/>
      </c>
      <c r="M530" s="132" t="str">
        <f t="shared" si="110"/>
        <v/>
      </c>
      <c r="N530" s="52" t="str">
        <f t="shared" si="53"/>
        <v/>
      </c>
      <c r="O530" s="49" t="str">
        <f t="shared" si="111"/>
        <v/>
      </c>
      <c r="P530" s="49" t="str">
        <f t="shared" si="112"/>
        <v/>
      </c>
      <c r="Q530" s="49" t="str">
        <f t="shared" si="113"/>
        <v/>
      </c>
      <c r="R530" s="48" t="str">
        <f t="shared" si="114"/>
        <v/>
      </c>
      <c r="S530" s="52" t="str">
        <f>IF($B530="","",IF(upper.limit,F385,F484))</f>
        <v/>
      </c>
      <c r="T530" s="49" t="str">
        <f t="shared" si="115"/>
        <v/>
      </c>
      <c r="U530" s="49" t="str">
        <f t="shared" si="116"/>
        <v/>
      </c>
      <c r="V530" s="49" t="str">
        <f t="shared" si="117"/>
        <v/>
      </c>
      <c r="W530" s="48" t="str">
        <f t="shared" si="118"/>
        <v/>
      </c>
      <c r="X530" s="52" t="str">
        <f>IF(B530&lt;&gt;"",Output!I18,"")</f>
        <v/>
      </c>
      <c r="Y530" s="49" t="str">
        <f t="shared" si="119"/>
        <v/>
      </c>
      <c r="Z530" s="49" t="str">
        <f t="shared" si="120"/>
        <v/>
      </c>
      <c r="AA530" s="49" t="str">
        <f t="shared" si="121"/>
        <v/>
      </c>
      <c r="AB530" s="48" t="str">
        <f t="shared" si="122"/>
        <v/>
      </c>
      <c r="AC530" s="136" t="str">
        <f>IF(G530&lt;&gt;"",Output!J18,"")</f>
        <v/>
      </c>
      <c r="AD530" s="49" t="str">
        <f t="shared" si="123"/>
        <v/>
      </c>
      <c r="AE530" s="49" t="str">
        <f t="shared" si="124"/>
        <v/>
      </c>
      <c r="AF530" s="49" t="str">
        <f t="shared" si="125"/>
        <v/>
      </c>
      <c r="AG530" s="132" t="str">
        <f t="shared" si="126"/>
        <v/>
      </c>
      <c r="AH530" s="52" t="str">
        <f>IF(L530&lt;&gt;"",Output!K18,"")</f>
        <v/>
      </c>
      <c r="AI530" s="49" t="str">
        <f t="shared" si="127"/>
        <v/>
      </c>
      <c r="AJ530" s="49" t="str">
        <f t="shared" si="128"/>
        <v/>
      </c>
      <c r="AK530" s="49" t="str">
        <f t="shared" si="129"/>
        <v/>
      </c>
      <c r="AL530" s="48" t="str">
        <f t="shared" si="130"/>
        <v/>
      </c>
      <c r="AM530" s="52" t="str">
        <f>IF(Q530&lt;&gt;"",Output!L18,"")</f>
        <v/>
      </c>
      <c r="AN530" s="49" t="str">
        <f t="shared" si="131"/>
        <v/>
      </c>
      <c r="AO530" s="49" t="str">
        <f t="shared" si="132"/>
        <v/>
      </c>
      <c r="AP530" s="49" t="str">
        <f t="shared" si="133"/>
        <v/>
      </c>
      <c r="AQ530" s="48" t="str">
        <f t="shared" si="134"/>
        <v/>
      </c>
      <c r="AR530" s="52" t="str">
        <f>IF(V530&lt;&gt;"",Output!M18,"")</f>
        <v/>
      </c>
      <c r="AS530" s="49" t="str">
        <f t="shared" si="135"/>
        <v/>
      </c>
      <c r="AT530" s="49" t="str">
        <f t="shared" si="136"/>
        <v/>
      </c>
      <c r="AU530" s="49" t="str">
        <f t="shared" si="137"/>
        <v/>
      </c>
      <c r="AV530" s="48" t="str">
        <f t="shared" si="138"/>
        <v/>
      </c>
      <c r="AW530" s="136" t="str">
        <f>IF(AA530&lt;&gt;"",Output!N18,"")</f>
        <v/>
      </c>
      <c r="AX530" s="49" t="str">
        <f t="shared" si="139"/>
        <v/>
      </c>
      <c r="AY530" s="49" t="str">
        <f t="shared" si="140"/>
        <v/>
      </c>
      <c r="AZ530" s="49" t="str">
        <f t="shared" si="141"/>
        <v/>
      </c>
      <c r="BA530" s="132" t="str">
        <f t="shared" si="142"/>
        <v/>
      </c>
      <c r="BB530" s="52" t="str">
        <f>IF(AF530&lt;&gt;"",Output!O18,"")</f>
        <v/>
      </c>
      <c r="BC530" s="49" t="str">
        <f t="shared" si="143"/>
        <v/>
      </c>
      <c r="BD530" s="49" t="str">
        <f t="shared" si="144"/>
        <v/>
      </c>
      <c r="BE530" s="49" t="str">
        <f t="shared" si="145"/>
        <v/>
      </c>
      <c r="BF530" s="48" t="str">
        <f t="shared" si="146"/>
        <v/>
      </c>
      <c r="BG530" s="52" t="str">
        <f>IF(AK530&lt;&gt;"",Output!P18,"")</f>
        <v/>
      </c>
      <c r="BH530" s="49" t="str">
        <f t="shared" si="147"/>
        <v/>
      </c>
      <c r="BI530" s="49" t="str">
        <f t="shared" si="148"/>
        <v/>
      </c>
      <c r="BJ530" s="49" t="str">
        <f t="shared" si="149"/>
        <v/>
      </c>
      <c r="BK530" s="48" t="str">
        <f t="shared" si="150"/>
        <v/>
      </c>
      <c r="BL530" s="52" t="str">
        <f>IF(AP530&lt;&gt;"",Output!Q18,"")</f>
        <v/>
      </c>
      <c r="BM530" s="49" t="str">
        <f t="shared" si="151"/>
        <v/>
      </c>
      <c r="BN530" s="49" t="str">
        <f t="shared" si="152"/>
        <v/>
      </c>
      <c r="BO530" s="49" t="str">
        <f t="shared" si="153"/>
        <v/>
      </c>
      <c r="BP530" s="48" t="str">
        <f t="shared" si="154"/>
        <v/>
      </c>
      <c r="BQ530" s="52" t="str">
        <f>IF(AU530&lt;&gt;"",Output!R18,"")</f>
        <v/>
      </c>
      <c r="BR530" s="49" t="str">
        <f t="shared" si="155"/>
        <v/>
      </c>
      <c r="BS530" s="49" t="str">
        <f t="shared" si="156"/>
        <v/>
      </c>
      <c r="BT530" s="49" t="str">
        <f t="shared" si="157"/>
        <v/>
      </c>
      <c r="BU530" s="48" t="str">
        <f t="shared" si="158"/>
        <v/>
      </c>
    </row>
    <row r="531" spans="2:73" x14ac:dyDescent="0.25">
      <c r="B531" s="58" t="str">
        <f t="shared" si="102"/>
        <v/>
      </c>
      <c r="C531" s="132" t="str">
        <f t="shared" si="42"/>
        <v/>
      </c>
      <c r="D531" s="52" t="str">
        <f t="shared" si="43"/>
        <v/>
      </c>
      <c r="E531" s="49" t="str">
        <f t="shared" si="103"/>
        <v/>
      </c>
      <c r="F531" s="49" t="str">
        <f t="shared" si="104"/>
        <v/>
      </c>
      <c r="G531" s="49" t="str">
        <f t="shared" si="105"/>
        <v/>
      </c>
      <c r="H531" s="48" t="str">
        <f t="shared" si="106"/>
        <v/>
      </c>
      <c r="I531" s="52" t="str">
        <f t="shared" si="48"/>
        <v/>
      </c>
      <c r="J531" s="49" t="str">
        <f t="shared" si="107"/>
        <v/>
      </c>
      <c r="K531" s="49" t="str">
        <f t="shared" si="108"/>
        <v/>
      </c>
      <c r="L531" s="49" t="str">
        <f t="shared" si="109"/>
        <v/>
      </c>
      <c r="M531" s="132" t="str">
        <f t="shared" si="110"/>
        <v/>
      </c>
      <c r="N531" s="52" t="str">
        <f t="shared" si="53"/>
        <v/>
      </c>
      <c r="O531" s="49" t="str">
        <f t="shared" si="111"/>
        <v/>
      </c>
      <c r="P531" s="49" t="str">
        <f t="shared" si="112"/>
        <v/>
      </c>
      <c r="Q531" s="49" t="str">
        <f t="shared" si="113"/>
        <v/>
      </c>
      <c r="R531" s="48" t="str">
        <f t="shared" si="114"/>
        <v/>
      </c>
      <c r="S531" s="52" t="str">
        <f>IF($B531="","",IF(upper.limit,F386,F485))</f>
        <v/>
      </c>
      <c r="T531" s="49" t="str">
        <f t="shared" si="115"/>
        <v/>
      </c>
      <c r="U531" s="49" t="str">
        <f t="shared" si="116"/>
        <v/>
      </c>
      <c r="V531" s="49" t="str">
        <f t="shared" si="117"/>
        <v/>
      </c>
      <c r="W531" s="48" t="str">
        <f t="shared" si="118"/>
        <v/>
      </c>
      <c r="X531" s="52" t="str">
        <f>IF(B531&lt;&gt;"",Output!I19,"")</f>
        <v/>
      </c>
      <c r="Y531" s="49" t="str">
        <f t="shared" si="119"/>
        <v/>
      </c>
      <c r="Z531" s="49" t="str">
        <f t="shared" si="120"/>
        <v/>
      </c>
      <c r="AA531" s="49" t="str">
        <f t="shared" si="121"/>
        <v/>
      </c>
      <c r="AB531" s="48" t="str">
        <f t="shared" si="122"/>
        <v/>
      </c>
      <c r="AC531" s="136" t="str">
        <f>IF(G531&lt;&gt;"",Output!J19,"")</f>
        <v/>
      </c>
      <c r="AD531" s="49" t="str">
        <f t="shared" si="123"/>
        <v/>
      </c>
      <c r="AE531" s="49" t="str">
        <f t="shared" si="124"/>
        <v/>
      </c>
      <c r="AF531" s="49" t="str">
        <f t="shared" si="125"/>
        <v/>
      </c>
      <c r="AG531" s="132" t="str">
        <f t="shared" si="126"/>
        <v/>
      </c>
      <c r="AH531" s="52" t="str">
        <f>IF(L531&lt;&gt;"",Output!K19,"")</f>
        <v/>
      </c>
      <c r="AI531" s="49" t="str">
        <f t="shared" si="127"/>
        <v/>
      </c>
      <c r="AJ531" s="49" t="str">
        <f t="shared" si="128"/>
        <v/>
      </c>
      <c r="AK531" s="49" t="str">
        <f t="shared" si="129"/>
        <v/>
      </c>
      <c r="AL531" s="48" t="str">
        <f t="shared" si="130"/>
        <v/>
      </c>
      <c r="AM531" s="52" t="str">
        <f>IF(Q531&lt;&gt;"",Output!L19,"")</f>
        <v/>
      </c>
      <c r="AN531" s="49" t="str">
        <f t="shared" si="131"/>
        <v/>
      </c>
      <c r="AO531" s="49" t="str">
        <f t="shared" si="132"/>
        <v/>
      </c>
      <c r="AP531" s="49" t="str">
        <f t="shared" si="133"/>
        <v/>
      </c>
      <c r="AQ531" s="48" t="str">
        <f t="shared" si="134"/>
        <v/>
      </c>
      <c r="AR531" s="52" t="str">
        <f>IF(V531&lt;&gt;"",Output!M19,"")</f>
        <v/>
      </c>
      <c r="AS531" s="49" t="str">
        <f t="shared" si="135"/>
        <v/>
      </c>
      <c r="AT531" s="49" t="str">
        <f t="shared" si="136"/>
        <v/>
      </c>
      <c r="AU531" s="49" t="str">
        <f t="shared" si="137"/>
        <v/>
      </c>
      <c r="AV531" s="48" t="str">
        <f t="shared" si="138"/>
        <v/>
      </c>
      <c r="AW531" s="136" t="str">
        <f>IF(AA531&lt;&gt;"",Output!N19,"")</f>
        <v/>
      </c>
      <c r="AX531" s="49" t="str">
        <f t="shared" si="139"/>
        <v/>
      </c>
      <c r="AY531" s="49" t="str">
        <f t="shared" si="140"/>
        <v/>
      </c>
      <c r="AZ531" s="49" t="str">
        <f t="shared" si="141"/>
        <v/>
      </c>
      <c r="BA531" s="132" t="str">
        <f t="shared" si="142"/>
        <v/>
      </c>
      <c r="BB531" s="52" t="str">
        <f>IF(AF531&lt;&gt;"",Output!O19,"")</f>
        <v/>
      </c>
      <c r="BC531" s="49" t="str">
        <f t="shared" si="143"/>
        <v/>
      </c>
      <c r="BD531" s="49" t="str">
        <f t="shared" si="144"/>
        <v/>
      </c>
      <c r="BE531" s="49" t="str">
        <f t="shared" si="145"/>
        <v/>
      </c>
      <c r="BF531" s="48" t="str">
        <f t="shared" si="146"/>
        <v/>
      </c>
      <c r="BG531" s="52" t="str">
        <f>IF(AK531&lt;&gt;"",Output!P19,"")</f>
        <v/>
      </c>
      <c r="BH531" s="49" t="str">
        <f t="shared" si="147"/>
        <v/>
      </c>
      <c r="BI531" s="49" t="str">
        <f t="shared" si="148"/>
        <v/>
      </c>
      <c r="BJ531" s="49" t="str">
        <f t="shared" si="149"/>
        <v/>
      </c>
      <c r="BK531" s="48" t="str">
        <f t="shared" si="150"/>
        <v/>
      </c>
      <c r="BL531" s="52" t="str">
        <f>IF(AP531&lt;&gt;"",Output!Q19,"")</f>
        <v/>
      </c>
      <c r="BM531" s="49" t="str">
        <f t="shared" si="151"/>
        <v/>
      </c>
      <c r="BN531" s="49" t="str">
        <f t="shared" si="152"/>
        <v/>
      </c>
      <c r="BO531" s="49" t="str">
        <f t="shared" si="153"/>
        <v/>
      </c>
      <c r="BP531" s="48" t="str">
        <f t="shared" si="154"/>
        <v/>
      </c>
      <c r="BQ531" s="52" t="str">
        <f>IF(AU531&lt;&gt;"",Output!R19,"")</f>
        <v/>
      </c>
      <c r="BR531" s="49" t="str">
        <f t="shared" si="155"/>
        <v/>
      </c>
      <c r="BS531" s="49" t="str">
        <f t="shared" si="156"/>
        <v/>
      </c>
      <c r="BT531" s="49" t="str">
        <f t="shared" si="157"/>
        <v/>
      </c>
      <c r="BU531" s="48" t="str">
        <f t="shared" si="158"/>
        <v/>
      </c>
    </row>
    <row r="532" spans="2:73" x14ac:dyDescent="0.25">
      <c r="B532" s="58" t="str">
        <f t="shared" si="102"/>
        <v/>
      </c>
      <c r="C532" s="132" t="str">
        <f t="shared" si="42"/>
        <v/>
      </c>
      <c r="D532" s="52" t="str">
        <f t="shared" si="43"/>
        <v/>
      </c>
      <c r="E532" s="49" t="str">
        <f t="shared" ref="E532" si="159">IF($B532="","",D532-$C532)</f>
        <v/>
      </c>
      <c r="F532" s="49" t="str">
        <f t="shared" ref="F532" si="160">IF($B532="","",ABS(E532))</f>
        <v/>
      </c>
      <c r="G532" s="49" t="str">
        <f t="shared" ref="G532" si="161">IF($B532="","",(E532/$C532)*100)</f>
        <v/>
      </c>
      <c r="H532" s="48" t="str">
        <f t="shared" ref="H532" si="162">IF($B532="","",(ABS(E532/$C532))*100)</f>
        <v/>
      </c>
      <c r="I532" s="52" t="str">
        <f t="shared" si="48"/>
        <v/>
      </c>
      <c r="J532" s="49" t="str">
        <f t="shared" ref="J532" si="163">IF($B532="","",I532-$C532)</f>
        <v/>
      </c>
      <c r="K532" s="49" t="str">
        <f t="shared" ref="K532" si="164">IF($B532="","",ABS(J532))</f>
        <v/>
      </c>
      <c r="L532" s="49" t="str">
        <f t="shared" ref="L532" si="165">IF($B532="","",(J532/$C532)*100)</f>
        <v/>
      </c>
      <c r="M532" s="132" t="str">
        <f t="shared" ref="M532" si="166">IF($B532="","",(ABS(J532/$C532))*100)</f>
        <v/>
      </c>
      <c r="N532" s="52" t="str">
        <f t="shared" si="53"/>
        <v/>
      </c>
      <c r="O532" s="49" t="str">
        <f t="shared" ref="O532" si="167">IF(J532="","",N532-$C532)</f>
        <v/>
      </c>
      <c r="P532" s="49" t="str">
        <f t="shared" ref="P532" si="168">IF($B532="","",ABS(O532))</f>
        <v/>
      </c>
      <c r="Q532" s="49" t="str">
        <f t="shared" ref="Q532" si="169">IF($B532="","",(O532/$C532)*100)</f>
        <v/>
      </c>
      <c r="R532" s="48" t="str">
        <f t="shared" ref="R532" si="170">IF($B532="","",(ABS(O532/$C532))*100)</f>
        <v/>
      </c>
      <c r="S532" s="52" t="str">
        <f>IF($B532="","",IF(upper.limit,F387,F486))</f>
        <v/>
      </c>
      <c r="T532" s="49" t="str">
        <f t="shared" ref="T532" si="171">IF($B532="","",S532-$C532)</f>
        <v/>
      </c>
      <c r="U532" s="49" t="str">
        <f t="shared" ref="U532" si="172">IF($B532="","",ABS(T532))</f>
        <v/>
      </c>
      <c r="V532" s="49" t="str">
        <f t="shared" ref="V532" si="173">IF($B532="","",(T532/$C532)*100)</f>
        <v/>
      </c>
      <c r="W532" s="48" t="str">
        <f t="shared" ref="W532" si="174">IF($B532="","",(ABS(T532/$C532))*100)</f>
        <v/>
      </c>
      <c r="X532" s="52" t="str">
        <f>IF(B532&lt;&gt;"",Output!I20,"")</f>
        <v/>
      </c>
      <c r="Y532" s="49" t="str">
        <f t="shared" ref="Y532" si="175">IF($B532="","",X532-$C532)</f>
        <v/>
      </c>
      <c r="Z532" s="49" t="str">
        <f t="shared" ref="Z532" si="176">IF($B532="","",ABS(Y532))</f>
        <v/>
      </c>
      <c r="AA532" s="49" t="str">
        <f t="shared" ref="AA532" si="177">IF($B532="","",(Y532/$C532)*100)</f>
        <v/>
      </c>
      <c r="AB532" s="48" t="str">
        <f t="shared" ref="AB532" si="178">IF($B532="","",(ABS(Y532/$C532))*100)</f>
        <v/>
      </c>
      <c r="AC532" s="136" t="str">
        <f>IF(G532&lt;&gt;"",Output!J20,"")</f>
        <v/>
      </c>
      <c r="AD532" s="49" t="str">
        <f t="shared" ref="AD532" si="179">IF($B532="","",AC532-$C532)</f>
        <v/>
      </c>
      <c r="AE532" s="49" t="str">
        <f t="shared" ref="AE532" si="180">IF($B532="","",ABS(AD532))</f>
        <v/>
      </c>
      <c r="AF532" s="49" t="str">
        <f t="shared" ref="AF532" si="181">IF($B532="","",(AD532/$C532)*100)</f>
        <v/>
      </c>
      <c r="AG532" s="132" t="str">
        <f t="shared" ref="AG532" si="182">IF($B532="","",(ABS(AD532/$C532))*100)</f>
        <v/>
      </c>
      <c r="AH532" s="52" t="str">
        <f>IF(L532&lt;&gt;"",Output!K20,"")</f>
        <v/>
      </c>
      <c r="AI532" s="49" t="str">
        <f t="shared" ref="AI532" si="183">IF(AD532="","",AH532-$C532)</f>
        <v/>
      </c>
      <c r="AJ532" s="49" t="str">
        <f t="shared" ref="AJ532" si="184">IF($B532="","",ABS(AI532))</f>
        <v/>
      </c>
      <c r="AK532" s="49" t="str">
        <f t="shared" ref="AK532" si="185">IF($B532="","",(AI532/$C532)*100)</f>
        <v/>
      </c>
      <c r="AL532" s="48" t="str">
        <f t="shared" ref="AL532" si="186">IF($B532="","",(ABS(AI532/$C532))*100)</f>
        <v/>
      </c>
      <c r="AM532" s="52" t="str">
        <f>IF(Q532&lt;&gt;"",Output!L20,"")</f>
        <v/>
      </c>
      <c r="AN532" s="49" t="str">
        <f t="shared" ref="AN532" si="187">IF($B532="","",AM532-$C532)</f>
        <v/>
      </c>
      <c r="AO532" s="49" t="str">
        <f t="shared" ref="AO532" si="188">IF($B532="","",ABS(AN532))</f>
        <v/>
      </c>
      <c r="AP532" s="49" t="str">
        <f t="shared" ref="AP532" si="189">IF($B532="","",(AN532/$C532)*100)</f>
        <v/>
      </c>
      <c r="AQ532" s="48" t="str">
        <f t="shared" ref="AQ532" si="190">IF($B532="","",(ABS(AN532/$C532))*100)</f>
        <v/>
      </c>
      <c r="AR532" s="52" t="str">
        <f>IF(V532&lt;&gt;"",Output!M20,"")</f>
        <v/>
      </c>
      <c r="AS532" s="49" t="str">
        <f t="shared" ref="AS532" si="191">IF($B532="","",AR532-$C532)</f>
        <v/>
      </c>
      <c r="AT532" s="49" t="str">
        <f t="shared" ref="AT532" si="192">IF($B532="","",ABS(AS532))</f>
        <v/>
      </c>
      <c r="AU532" s="49" t="str">
        <f t="shared" ref="AU532" si="193">IF($B532="","",(AS532/$C532)*100)</f>
        <v/>
      </c>
      <c r="AV532" s="48" t="str">
        <f t="shared" ref="AV532" si="194">IF($B532="","",(ABS(AS532/$C532))*100)</f>
        <v/>
      </c>
      <c r="AW532" s="136" t="str">
        <f>IF(AA532&lt;&gt;"",Output!N20,"")</f>
        <v/>
      </c>
      <c r="AX532" s="49" t="str">
        <f t="shared" ref="AX532" si="195">IF($B532="","",AW532-$C532)</f>
        <v/>
      </c>
      <c r="AY532" s="49" t="str">
        <f t="shared" ref="AY532" si="196">IF($B532="","",ABS(AX532))</f>
        <v/>
      </c>
      <c r="AZ532" s="49" t="str">
        <f t="shared" ref="AZ532" si="197">IF($B532="","",(AX532/$C532)*100)</f>
        <v/>
      </c>
      <c r="BA532" s="132" t="str">
        <f t="shared" ref="BA532" si="198">IF($B532="","",(ABS(AX532/$C532))*100)</f>
        <v/>
      </c>
      <c r="BB532" s="52" t="str">
        <f>IF(AF532&lt;&gt;"",Output!O20,"")</f>
        <v/>
      </c>
      <c r="BC532" s="49" t="str">
        <f t="shared" ref="BC532" si="199">IF(AX532="","",BB532-$C532)</f>
        <v/>
      </c>
      <c r="BD532" s="49" t="str">
        <f t="shared" ref="BD532" si="200">IF($B532="","",ABS(BC532))</f>
        <v/>
      </c>
      <c r="BE532" s="49" t="str">
        <f t="shared" ref="BE532" si="201">IF($B532="","",(BC532/$C532)*100)</f>
        <v/>
      </c>
      <c r="BF532" s="48" t="str">
        <f t="shared" ref="BF532" si="202">IF($B532="","",(ABS(BC532/$C532))*100)</f>
        <v/>
      </c>
      <c r="BG532" s="52" t="str">
        <f>IF(AK532&lt;&gt;"",Output!P20,"")</f>
        <v/>
      </c>
      <c r="BH532" s="49" t="str">
        <f t="shared" ref="BH532" si="203">IF($B532="","",BG532-$C532)</f>
        <v/>
      </c>
      <c r="BI532" s="49" t="str">
        <f t="shared" ref="BI532" si="204">IF($B532="","",ABS(BH532))</f>
        <v/>
      </c>
      <c r="BJ532" s="49" t="str">
        <f t="shared" ref="BJ532" si="205">IF($B532="","",(BH532/$C532)*100)</f>
        <v/>
      </c>
      <c r="BK532" s="48" t="str">
        <f t="shared" ref="BK532" si="206">IF($B532="","",(ABS(BH532/$C532))*100)</f>
        <v/>
      </c>
      <c r="BL532" s="52" t="str">
        <f>IF(AP532&lt;&gt;"",Output!Q20,"")</f>
        <v/>
      </c>
      <c r="BM532" s="49" t="str">
        <f t="shared" ref="BM532" si="207">IF(BH532="","",BL532-$C532)</f>
        <v/>
      </c>
      <c r="BN532" s="49" t="str">
        <f t="shared" ref="BN532" si="208">IF($B532="","",ABS(BM532))</f>
        <v/>
      </c>
      <c r="BO532" s="49" t="str">
        <f t="shared" ref="BO532" si="209">IF($B532="","",(BM532/$C532)*100)</f>
        <v/>
      </c>
      <c r="BP532" s="48" t="str">
        <f t="shared" ref="BP532" si="210">IF($B532="","",(ABS(BM532/$C532))*100)</f>
        <v/>
      </c>
      <c r="BQ532" s="52" t="str">
        <f>IF(AU532&lt;&gt;"",Output!R20,"")</f>
        <v/>
      </c>
      <c r="BR532" s="49" t="str">
        <f t="shared" ref="BR532" si="211">IF($B532="","",BQ532-$C532)</f>
        <v/>
      </c>
      <c r="BS532" s="49" t="str">
        <f t="shared" ref="BS532" si="212">IF($B532="","",ABS(BR532))</f>
        <v/>
      </c>
      <c r="BT532" s="49" t="str">
        <f t="shared" ref="BT532" si="213">IF($B532="","",(BR532/$C532)*100)</f>
        <v/>
      </c>
      <c r="BU532" s="48" t="str">
        <f t="shared" ref="BU532" si="214">IF($B532="","",(ABS(BR532/$C532))*100)</f>
        <v/>
      </c>
    </row>
    <row r="533" spans="2:73" ht="15.75" thickBot="1" x14ac:dyDescent="0.3">
      <c r="B533" s="27" t="s">
        <v>7</v>
      </c>
      <c r="C533" s="51"/>
      <c r="D533" s="47"/>
      <c r="E533" s="50">
        <f>SUM(E509:E532)</f>
        <v>9.9999999997635314E-4</v>
      </c>
      <c r="F533" s="50">
        <f>SUM(F509:F532)</f>
        <v>62.666999999999916</v>
      </c>
      <c r="G533" s="50">
        <f>SUM(G509:G532)</f>
        <v>0.42902976813716709</v>
      </c>
      <c r="H533" s="50">
        <f>SUM(H509:H532)</f>
        <v>9.8402467565657439</v>
      </c>
      <c r="I533" s="81"/>
      <c r="J533" s="50">
        <f>SUM(J509:J532)</f>
        <v>-1.1309999999999718</v>
      </c>
      <c r="K533" s="50">
        <f>SUM(K509:K532)</f>
        <v>68.211000000000126</v>
      </c>
      <c r="L533" s="50">
        <f>SUM(L509:L532)</f>
        <v>0.21268407905825981</v>
      </c>
      <c r="M533" s="106">
        <f>SUM(M509:M532)</f>
        <v>10.626506700760872</v>
      </c>
      <c r="N533" s="82"/>
      <c r="O533" s="50">
        <f>SUM(O509:O532)</f>
        <v>0</v>
      </c>
      <c r="P533" s="50">
        <f>SUM(P509:P532)</f>
        <v>0</v>
      </c>
      <c r="Q533" s="50">
        <f>SUM(Q509:Q532)</f>
        <v>0</v>
      </c>
      <c r="R533" s="53">
        <f>SUM(R509:R532)</f>
        <v>0</v>
      </c>
      <c r="S533" s="82"/>
      <c r="T533" s="50">
        <f>SUM(T509:T532)</f>
        <v>1.2479999999999336</v>
      </c>
      <c r="U533" s="50">
        <f>SUM(U509:U532)</f>
        <v>55.532000000000039</v>
      </c>
      <c r="V533" s="50">
        <f>SUM(V509:V532)</f>
        <v>0.6614399444449659</v>
      </c>
      <c r="W533" s="53">
        <f>SUM(W509:W532)</f>
        <v>8.8138432093710559</v>
      </c>
      <c r="X533" s="47"/>
      <c r="Y533" s="50">
        <f>SUM(Y509:Y532)</f>
        <v>3.0999999999949068E-2</v>
      </c>
      <c r="Z533" s="50">
        <f>SUM(Z509:Z532)</f>
        <v>46.603000000000065</v>
      </c>
      <c r="AA533" s="50">
        <f>SUM(AA509:AA532)</f>
        <v>0.32602740615352599</v>
      </c>
      <c r="AB533" s="53">
        <f>SUM(AB509:AB532)</f>
        <v>7.3202379443256964</v>
      </c>
      <c r="AC533" s="81"/>
      <c r="AD533" s="50">
        <f>SUM(AD509:AD532)</f>
        <v>-0.37599999999997635</v>
      </c>
      <c r="AE533" s="50">
        <f>SUM(AE509:AE532)</f>
        <v>43.625999999999976</v>
      </c>
      <c r="AF533" s="50">
        <f>SUM(AF509:AF532)</f>
        <v>0.2140157442212598</v>
      </c>
      <c r="AG533" s="106">
        <f>SUM(AG509:AG532)</f>
        <v>6.8222621605368721</v>
      </c>
      <c r="AH533" s="82"/>
      <c r="AI533" s="50">
        <f>SUM(AI509:AI532)</f>
        <v>0.41600000000005366</v>
      </c>
      <c r="AJ533" s="50">
        <f>SUM(AJ509:AJ532)</f>
        <v>39.399999999999977</v>
      </c>
      <c r="AK533" s="50">
        <f>SUM(AK509:AK532)</f>
        <v>0.36342695271078562</v>
      </c>
      <c r="AL533" s="53">
        <f>SUM(AL509:AL532)</f>
        <v>6.2180671575571012</v>
      </c>
      <c r="AM533" s="82"/>
      <c r="AN533" s="50">
        <f>SUM(AN509:AN532)</f>
        <v>3.8999999999987267E-2</v>
      </c>
      <c r="AO533" s="50">
        <f>SUM(AO509:AO532)</f>
        <v>41.247000000000071</v>
      </c>
      <c r="AP533" s="50">
        <f>SUM(AP509:AP532)</f>
        <v>0.29136366640640299</v>
      </c>
      <c r="AQ533" s="53">
        <f>SUM(AQ509:AQ532)</f>
        <v>6.4800055082211978</v>
      </c>
      <c r="AR533" s="47"/>
      <c r="AS533" s="50">
        <f>SUM(AS509:AS532)</f>
        <v>-0.56499999999994088</v>
      </c>
      <c r="AT533" s="50">
        <f>SUM(AT509:AT532)</f>
        <v>65.438999999999965</v>
      </c>
      <c r="AU533" s="50">
        <f>SUM(AU509:AU532)</f>
        <v>0.32085692359772233</v>
      </c>
      <c r="AV533" s="53">
        <f>SUM(AV509:AV532)</f>
        <v>10.233376728663298</v>
      </c>
      <c r="AW533" s="81"/>
      <c r="AX533" s="50">
        <f>SUM(AX509:AX532)</f>
        <v>1.9999999999527063E-3</v>
      </c>
      <c r="AY533" s="50">
        <f>SUM(AY509:AY532)</f>
        <v>31.33400000000006</v>
      </c>
      <c r="AZ533" s="50">
        <f>SUM(AZ509:AZ532)</f>
        <v>0.214753842312013</v>
      </c>
      <c r="BA533" s="106">
        <f>SUM(BA509:BA532)</f>
        <v>4.9202121559341601</v>
      </c>
      <c r="BB533" s="82"/>
      <c r="BC533" s="50">
        <f>SUM(BC509:BC532)</f>
        <v>0.62600000000009004</v>
      </c>
      <c r="BD533" s="50">
        <f>SUM(BD509:BD532)</f>
        <v>59.100000000000023</v>
      </c>
      <c r="BE533" s="50">
        <f>SUM(BE509:BE532)</f>
        <v>0.54547381453452104</v>
      </c>
      <c r="BF533" s="53">
        <f>SUM(BF509:BF532)</f>
        <v>9.3271337606196791</v>
      </c>
      <c r="BG533" s="82"/>
      <c r="BH533" s="50">
        <f>SUM(BH509:BH532)</f>
        <v>-0.56400000000007822</v>
      </c>
      <c r="BI533" s="50">
        <f>SUM(BI509:BI532)</f>
        <v>34.105999999999995</v>
      </c>
      <c r="BJ533" s="50">
        <f>SUM(BJ509:BJ532)</f>
        <v>0.10658099777254781</v>
      </c>
      <c r="BK533" s="53">
        <f>SUM(BK509:BK532)</f>
        <v>5.3133421280316959</v>
      </c>
      <c r="BL533" s="82"/>
      <c r="BM533" s="50">
        <f>SUM(BM509:BM532)</f>
        <v>5.9999999999831743E-2</v>
      </c>
      <c r="BN533" s="50">
        <f>SUM(BN509:BN532)</f>
        <v>61.871999999999957</v>
      </c>
      <c r="BO533" s="50">
        <f>SUM(BO509:BO532)</f>
        <v>0.43730096999502255</v>
      </c>
      <c r="BP533" s="53">
        <f>SUM(BP509:BP532)</f>
        <v>9.7202637327172141</v>
      </c>
      <c r="BQ533" s="82"/>
      <c r="BR533" s="50">
        <f>SUM(BR509:BR532)</f>
        <v>0.62399999999990996</v>
      </c>
      <c r="BS533" s="50">
        <f>SUM(BS509:BS532)</f>
        <v>27.765999999999963</v>
      </c>
      <c r="BT533" s="50">
        <f>SUM(BT509:BT532)</f>
        <v>0.33071997222247485</v>
      </c>
      <c r="BU533" s="53">
        <f>SUM(BU509:BU532)</f>
        <v>4.40692160468552</v>
      </c>
    </row>
    <row r="534" spans="2:73" x14ac:dyDescent="0.25">
      <c r="B534" s="29" t="s">
        <v>97</v>
      </c>
      <c r="C534" s="113"/>
      <c r="D534" s="124"/>
      <c r="E534" s="125">
        <f>E533/$C$539</f>
        <v>3.3333333332545106E-4</v>
      </c>
      <c r="F534" s="125"/>
      <c r="G534" s="125"/>
      <c r="H534" s="126"/>
      <c r="I534" s="127"/>
      <c r="J534" s="125">
        <f>J533/$C$539</f>
        <v>-0.37699999999999062</v>
      </c>
      <c r="K534" s="125"/>
      <c r="L534" s="125"/>
      <c r="M534" s="128"/>
      <c r="N534" s="124"/>
      <c r="O534" s="125">
        <f>O533/$C$539</f>
        <v>0</v>
      </c>
      <c r="P534" s="125"/>
      <c r="Q534" s="125"/>
      <c r="R534" s="126"/>
      <c r="S534" s="124"/>
      <c r="T534" s="125">
        <f>T533/$C$539</f>
        <v>0.41599999999997789</v>
      </c>
      <c r="U534" s="125"/>
      <c r="V534" s="125"/>
      <c r="W534" s="126"/>
      <c r="X534" s="124"/>
      <c r="Y534" s="125">
        <f>Y533/$C$539</f>
        <v>1.0333333333316356E-2</v>
      </c>
      <c r="Z534" s="125"/>
      <c r="AA534" s="125"/>
      <c r="AB534" s="126"/>
      <c r="AC534" s="127"/>
      <c r="AD534" s="125">
        <f>AD533/$C$539</f>
        <v>-0.12533333333332544</v>
      </c>
      <c r="AE534" s="125"/>
      <c r="AF534" s="125"/>
      <c r="AG534" s="128"/>
      <c r="AH534" s="124"/>
      <c r="AI534" s="125">
        <f>AI533/$C$539</f>
        <v>0.13866666666668456</v>
      </c>
      <c r="AJ534" s="125"/>
      <c r="AK534" s="125"/>
      <c r="AL534" s="126"/>
      <c r="AM534" s="124"/>
      <c r="AN534" s="125">
        <f>AN533/$C$539</f>
        <v>1.2999999999995756E-2</v>
      </c>
      <c r="AO534" s="125"/>
      <c r="AP534" s="125"/>
      <c r="AQ534" s="126"/>
      <c r="AR534" s="124"/>
      <c r="AS534" s="125">
        <f>AS533/$C$539</f>
        <v>-0.18833333333331362</v>
      </c>
      <c r="AT534" s="125"/>
      <c r="AU534" s="125"/>
      <c r="AV534" s="126"/>
      <c r="AW534" s="127"/>
      <c r="AX534" s="125">
        <f>AX533/$C$539</f>
        <v>6.6666666665090213E-4</v>
      </c>
      <c r="AY534" s="125"/>
      <c r="AZ534" s="125"/>
      <c r="BA534" s="128"/>
      <c r="BB534" s="124"/>
      <c r="BC534" s="125">
        <f>BC533/$C$539</f>
        <v>0.20866666666669667</v>
      </c>
      <c r="BD534" s="125"/>
      <c r="BE534" s="125"/>
      <c r="BF534" s="126"/>
      <c r="BG534" s="124"/>
      <c r="BH534" s="125">
        <f>BH533/$C$539</f>
        <v>-0.18800000000002606</v>
      </c>
      <c r="BI534" s="125"/>
      <c r="BJ534" s="125"/>
      <c r="BK534" s="126"/>
      <c r="BL534" s="124"/>
      <c r="BM534" s="125">
        <f>BM533/$C$539</f>
        <v>1.9999999999943913E-2</v>
      </c>
      <c r="BN534" s="125"/>
      <c r="BO534" s="125"/>
      <c r="BP534" s="126"/>
      <c r="BQ534" s="124"/>
      <c r="BR534" s="125">
        <f>BR533/$C$539</f>
        <v>0.20799999999996999</v>
      </c>
      <c r="BS534" s="125"/>
      <c r="BT534" s="125"/>
      <c r="BU534" s="126"/>
    </row>
    <row r="535" spans="2:73" x14ac:dyDescent="0.25">
      <c r="B535" s="33" t="s">
        <v>98</v>
      </c>
      <c r="C535" s="112"/>
      <c r="D535" s="114"/>
      <c r="E535" s="115"/>
      <c r="F535" s="115">
        <f>F533/$C$539</f>
        <v>20.888999999999971</v>
      </c>
      <c r="G535" s="115"/>
      <c r="H535" s="129"/>
      <c r="I535" s="116"/>
      <c r="J535" s="115"/>
      <c r="K535" s="115">
        <f>K533/$C$539</f>
        <v>22.737000000000041</v>
      </c>
      <c r="L535" s="115"/>
      <c r="M535" s="130"/>
      <c r="N535" s="114"/>
      <c r="O535" s="115"/>
      <c r="P535" s="115">
        <f>P533/$C$539</f>
        <v>0</v>
      </c>
      <c r="Q535" s="115"/>
      <c r="R535" s="129"/>
      <c r="S535" s="114"/>
      <c r="T535" s="115"/>
      <c r="U535" s="115">
        <f>U533/$C$539</f>
        <v>18.51066666666668</v>
      </c>
      <c r="V535" s="115"/>
      <c r="W535" s="129"/>
      <c r="X535" s="114"/>
      <c r="Y535" s="115"/>
      <c r="Z535" s="115">
        <f>Z533/$C$539</f>
        <v>15.534333333333356</v>
      </c>
      <c r="AA535" s="115"/>
      <c r="AB535" s="129"/>
      <c r="AC535" s="116"/>
      <c r="AD535" s="115"/>
      <c r="AE535" s="115">
        <f>AE533/$C$539</f>
        <v>14.541999999999993</v>
      </c>
      <c r="AF535" s="115"/>
      <c r="AG535" s="130"/>
      <c r="AH535" s="114"/>
      <c r="AI535" s="115"/>
      <c r="AJ535" s="115">
        <f>AJ533/$C$539</f>
        <v>13.133333333333326</v>
      </c>
      <c r="AK535" s="115"/>
      <c r="AL535" s="129"/>
      <c r="AM535" s="114"/>
      <c r="AN535" s="115"/>
      <c r="AO535" s="115">
        <f>AO533/$C$539</f>
        <v>13.749000000000024</v>
      </c>
      <c r="AP535" s="115"/>
      <c r="AQ535" s="129"/>
      <c r="AR535" s="114"/>
      <c r="AS535" s="115"/>
      <c r="AT535" s="115">
        <f>AT533/$C$539</f>
        <v>21.812999999999988</v>
      </c>
      <c r="AU535" s="115"/>
      <c r="AV535" s="129"/>
      <c r="AW535" s="116"/>
      <c r="AX535" s="115"/>
      <c r="AY535" s="115">
        <f>AY533/$C$539</f>
        <v>10.444666666666686</v>
      </c>
      <c r="AZ535" s="115"/>
      <c r="BA535" s="130"/>
      <c r="BB535" s="114"/>
      <c r="BC535" s="115"/>
      <c r="BD535" s="115">
        <f>BD533/$C$539</f>
        <v>19.700000000000006</v>
      </c>
      <c r="BE535" s="115"/>
      <c r="BF535" s="129"/>
      <c r="BG535" s="114"/>
      <c r="BH535" s="115"/>
      <c r="BI535" s="115">
        <f>BI533/$C$539</f>
        <v>11.368666666666664</v>
      </c>
      <c r="BJ535" s="115"/>
      <c r="BK535" s="129"/>
      <c r="BL535" s="114"/>
      <c r="BM535" s="115"/>
      <c r="BN535" s="115">
        <f>BN533/$C$539</f>
        <v>20.623999999999985</v>
      </c>
      <c r="BO535" s="115"/>
      <c r="BP535" s="129"/>
      <c r="BQ535" s="114"/>
      <c r="BR535" s="115"/>
      <c r="BS535" s="115">
        <f>BS533/$C$539</f>
        <v>9.2553333333333203</v>
      </c>
      <c r="BT535" s="115"/>
      <c r="BU535" s="129"/>
    </row>
    <row r="536" spans="2:73" x14ac:dyDescent="0.25">
      <c r="B536" s="33" t="s">
        <v>120</v>
      </c>
      <c r="C536" s="46"/>
      <c r="D536" s="114"/>
      <c r="E536" s="115"/>
      <c r="F536" s="115"/>
      <c r="G536" s="115">
        <f>G533/$C$539</f>
        <v>0.14300992271238902</v>
      </c>
      <c r="H536" s="56"/>
      <c r="I536" s="116"/>
      <c r="J536" s="115"/>
      <c r="K536" s="115"/>
      <c r="L536" s="115">
        <f>L533/$C$539</f>
        <v>7.0894693019419933E-2</v>
      </c>
      <c r="M536" s="133"/>
      <c r="N536" s="114"/>
      <c r="O536" s="115"/>
      <c r="P536" s="115"/>
      <c r="Q536" s="115">
        <f>Q533/$C$539</f>
        <v>0</v>
      </c>
      <c r="R536" s="56"/>
      <c r="S536" s="114"/>
      <c r="T536" s="115"/>
      <c r="U536" s="115"/>
      <c r="V536" s="115">
        <f>V533/$C$539</f>
        <v>0.22047998148165529</v>
      </c>
      <c r="W536" s="56"/>
      <c r="X536" s="114"/>
      <c r="Y536" s="115"/>
      <c r="Z536" s="115"/>
      <c r="AA536" s="115">
        <f>AA533/$C$539</f>
        <v>0.10867580205117533</v>
      </c>
      <c r="AB536" s="56"/>
      <c r="AC536" s="116"/>
      <c r="AD536" s="115"/>
      <c r="AE536" s="115"/>
      <c r="AF536" s="115">
        <f>AF533/$C$539</f>
        <v>7.1338581407086599E-2</v>
      </c>
      <c r="AG536" s="133"/>
      <c r="AH536" s="114"/>
      <c r="AI536" s="115"/>
      <c r="AJ536" s="115"/>
      <c r="AK536" s="115">
        <f>AK533/$C$539</f>
        <v>0.12114231757026188</v>
      </c>
      <c r="AL536" s="56"/>
      <c r="AM536" s="114"/>
      <c r="AN536" s="115"/>
      <c r="AO536" s="115"/>
      <c r="AP536" s="115">
        <f>AP533/$C$539</f>
        <v>9.7121222135467658E-2</v>
      </c>
      <c r="AQ536" s="56"/>
      <c r="AR536" s="114"/>
      <c r="AS536" s="115"/>
      <c r="AT536" s="115"/>
      <c r="AU536" s="115">
        <f>AU533/$C$539</f>
        <v>0.10695230786590744</v>
      </c>
      <c r="AV536" s="56"/>
      <c r="AW536" s="116"/>
      <c r="AX536" s="115"/>
      <c r="AY536" s="115"/>
      <c r="AZ536" s="115">
        <f>AZ533/$C$539</f>
        <v>7.1584614104004338E-2</v>
      </c>
      <c r="BA536" s="133"/>
      <c r="BB536" s="114"/>
      <c r="BC536" s="115"/>
      <c r="BD536" s="115"/>
      <c r="BE536" s="115">
        <f>BE533/$C$539</f>
        <v>0.18182460484484034</v>
      </c>
      <c r="BF536" s="56"/>
      <c r="BG536" s="114"/>
      <c r="BH536" s="115"/>
      <c r="BI536" s="115"/>
      <c r="BJ536" s="115">
        <f>BJ533/$C$539</f>
        <v>3.5526999257515936E-2</v>
      </c>
      <c r="BK536" s="56"/>
      <c r="BL536" s="114"/>
      <c r="BM536" s="115"/>
      <c r="BN536" s="115"/>
      <c r="BO536" s="115">
        <f>BO533/$C$539</f>
        <v>0.14576698999834084</v>
      </c>
      <c r="BP536" s="56"/>
      <c r="BQ536" s="114"/>
      <c r="BR536" s="115"/>
      <c r="BS536" s="115"/>
      <c r="BT536" s="115">
        <f>BT533/$C$539</f>
        <v>0.11023999074082495</v>
      </c>
      <c r="BU536" s="56"/>
    </row>
    <row r="537" spans="2:73" ht="15.75" thickBot="1" x14ac:dyDescent="0.3">
      <c r="B537" s="30" t="s">
        <v>49</v>
      </c>
      <c r="C537" s="117"/>
      <c r="D537" s="118"/>
      <c r="E537" s="91"/>
      <c r="F537" s="91"/>
      <c r="G537" s="119"/>
      <c r="H537" s="120">
        <f>H533/$C$539</f>
        <v>3.2800822521885813</v>
      </c>
      <c r="I537" s="121"/>
      <c r="J537" s="91"/>
      <c r="K537" s="91"/>
      <c r="L537" s="119"/>
      <c r="M537" s="134">
        <f>M533/$C$539</f>
        <v>3.5421689002536243</v>
      </c>
      <c r="N537" s="118"/>
      <c r="O537" s="91"/>
      <c r="P537" s="91"/>
      <c r="Q537" s="119"/>
      <c r="R537" s="120">
        <f>R533/$C$539</f>
        <v>0</v>
      </c>
      <c r="S537" s="118"/>
      <c r="T537" s="91"/>
      <c r="U537" s="91"/>
      <c r="V537" s="119"/>
      <c r="W537" s="120">
        <f>W533/$C$539</f>
        <v>2.9379477364570188</v>
      </c>
      <c r="X537" s="118"/>
      <c r="Y537" s="91"/>
      <c r="Z537" s="91"/>
      <c r="AA537" s="119"/>
      <c r="AB537" s="120">
        <f>AB533/$C$539</f>
        <v>2.440079314775232</v>
      </c>
      <c r="AC537" s="121"/>
      <c r="AD537" s="91"/>
      <c r="AE537" s="91"/>
      <c r="AF537" s="119"/>
      <c r="AG537" s="134">
        <f>AG533/$C$539</f>
        <v>2.2740873868456242</v>
      </c>
      <c r="AH537" s="118"/>
      <c r="AI537" s="91"/>
      <c r="AJ537" s="91"/>
      <c r="AK537" s="119"/>
      <c r="AL537" s="120">
        <f>AL533/$C$539</f>
        <v>2.0726890525190336</v>
      </c>
      <c r="AM537" s="118"/>
      <c r="AN537" s="91"/>
      <c r="AO537" s="91"/>
      <c r="AP537" s="119"/>
      <c r="AQ537" s="120">
        <f>AQ533/$C$539</f>
        <v>2.1600018360737328</v>
      </c>
      <c r="AR537" s="118"/>
      <c r="AS537" s="91"/>
      <c r="AT537" s="91"/>
      <c r="AU537" s="119"/>
      <c r="AV537" s="120">
        <f>AV533/$C$539</f>
        <v>3.4111255762210995</v>
      </c>
      <c r="AW537" s="121"/>
      <c r="AX537" s="91"/>
      <c r="AY537" s="91"/>
      <c r="AZ537" s="119"/>
      <c r="BA537" s="134">
        <f>BA533/$C$539</f>
        <v>1.6400707186447201</v>
      </c>
      <c r="BB537" s="118"/>
      <c r="BC537" s="91"/>
      <c r="BD537" s="91"/>
      <c r="BE537" s="119"/>
      <c r="BF537" s="120">
        <f>BF533/$C$539</f>
        <v>3.1090445868732264</v>
      </c>
      <c r="BG537" s="118"/>
      <c r="BH537" s="91"/>
      <c r="BI537" s="91"/>
      <c r="BJ537" s="119"/>
      <c r="BK537" s="120">
        <f>BK533/$C$539</f>
        <v>1.771114042677232</v>
      </c>
      <c r="BL537" s="118"/>
      <c r="BM537" s="91"/>
      <c r="BN537" s="91"/>
      <c r="BO537" s="119"/>
      <c r="BP537" s="120">
        <f>BP533/$C$539</f>
        <v>3.2400879109057379</v>
      </c>
      <c r="BQ537" s="118"/>
      <c r="BR537" s="91"/>
      <c r="BS537" s="91"/>
      <c r="BT537" s="119"/>
      <c r="BU537" s="120">
        <f>BU533/$C$539</f>
        <v>1.4689738682285067</v>
      </c>
    </row>
    <row r="538" spans="2:73" x14ac:dyDescent="0.25">
      <c r="B538" s="24"/>
      <c r="C538" s="24"/>
      <c r="D538" s="24"/>
      <c r="E538" s="24"/>
      <c r="F538" s="24"/>
    </row>
    <row r="539" spans="2:73" x14ac:dyDescent="0.25">
      <c r="B539" s="7" t="s">
        <v>15</v>
      </c>
      <c r="C539" s="5">
        <f>N</f>
        <v>3</v>
      </c>
    </row>
    <row r="540" spans="2:73" x14ac:dyDescent="0.25">
      <c r="B540" s="7"/>
    </row>
    <row r="541" spans="2:73" x14ac:dyDescent="0.25">
      <c r="B541" s="7" t="s">
        <v>50</v>
      </c>
    </row>
    <row r="543" spans="2:73" x14ac:dyDescent="0.25">
      <c r="B543" s="57" t="s">
        <v>167</v>
      </c>
      <c r="C543" s="200" t="s">
        <v>168</v>
      </c>
    </row>
    <row r="544" spans="2:73" x14ac:dyDescent="0.25">
      <c r="B544" s="57" t="s">
        <v>32</v>
      </c>
      <c r="C544" s="9" t="str">
        <f>TEXT($E$533,"#,##0.#00")&amp;" / "&amp;TEXT($C$539,"###")</f>
        <v>0.001 / 3</v>
      </c>
    </row>
    <row r="545" spans="2:3" x14ac:dyDescent="0.25">
      <c r="B545" s="57" t="s">
        <v>32</v>
      </c>
      <c r="C545" s="9">
        <f>$E$533/$C$539</f>
        <v>3.3333333332545106E-4</v>
      </c>
    </row>
    <row r="547" spans="2:3" x14ac:dyDescent="0.25">
      <c r="B547" s="7" t="s">
        <v>169</v>
      </c>
      <c r="C547" s="5" t="s">
        <v>170</v>
      </c>
    </row>
    <row r="548" spans="2:3" x14ac:dyDescent="0.25">
      <c r="B548" s="57" t="s">
        <v>32</v>
      </c>
      <c r="C548" s="9" t="str">
        <f>TEXT($F$533,"#,###.##0")&amp;" / "&amp;TEXT($C$539,"###")</f>
        <v>62.667 / 3</v>
      </c>
    </row>
    <row r="549" spans="2:3" x14ac:dyDescent="0.25">
      <c r="B549" s="57" t="s">
        <v>32</v>
      </c>
      <c r="C549" s="9">
        <f>$F$533/$C$539</f>
        <v>20.888999999999971</v>
      </c>
    </row>
    <row r="551" spans="2:3" x14ac:dyDescent="0.25">
      <c r="B551" s="7" t="s">
        <v>51</v>
      </c>
      <c r="C551" t="s">
        <v>58</v>
      </c>
    </row>
    <row r="552" spans="2:3" x14ac:dyDescent="0.25">
      <c r="B552" s="57" t="s">
        <v>32</v>
      </c>
      <c r="C552" s="122" t="str">
        <f>TEXT($G$533,"#0,###.##0")&amp;" / "&amp;TEXT($C$539,"###")</f>
        <v>0,.429 / 3</v>
      </c>
    </row>
    <row r="553" spans="2:3" x14ac:dyDescent="0.25">
      <c r="B553" s="57" t="s">
        <v>32</v>
      </c>
      <c r="C553" s="9">
        <f>$G$533/$C$539</f>
        <v>0.14300992271238902</v>
      </c>
    </row>
    <row r="555" spans="2:3" x14ac:dyDescent="0.25">
      <c r="B555" s="14" t="s">
        <v>35</v>
      </c>
      <c r="C555" s="5" t="s">
        <v>52</v>
      </c>
    </row>
    <row r="556" spans="2:3" x14ac:dyDescent="0.25">
      <c r="B556" s="7" t="s">
        <v>32</v>
      </c>
      <c r="C556" s="17" t="str">
        <f>TEXT($H$533,"##.##0")&amp;" / "&amp;TEXT($C$539,"###")</f>
        <v>9.840 / 3</v>
      </c>
    </row>
    <row r="557" spans="2:3" x14ac:dyDescent="0.25">
      <c r="B557" s="57" t="s">
        <v>32</v>
      </c>
      <c r="C557" s="17">
        <f>$H$533/$C$539</f>
        <v>3.2800822521885813</v>
      </c>
    </row>
  </sheetData>
  <sheetProtection password="DF21" sheet="1" formatCells="0" formatColumns="0" formatRows="0"/>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34"/>
  <sheetViews>
    <sheetView workbookViewId="0"/>
  </sheetViews>
  <sheetFormatPr defaultRowHeight="15" x14ac:dyDescent="0.25"/>
  <cols>
    <col min="1" max="1" width="9.140625" style="143"/>
    <col min="2" max="2" width="11.85546875" style="143" bestFit="1" customWidth="1"/>
    <col min="3" max="3" width="12.5703125" style="143" customWidth="1"/>
    <col min="4" max="4" width="13.5703125" style="143" customWidth="1"/>
    <col min="5" max="5" width="11.42578125" style="143" customWidth="1"/>
    <col min="6" max="6" width="12.7109375" style="143" customWidth="1"/>
    <col min="7" max="7" width="11.28515625" style="143" customWidth="1"/>
    <col min="8" max="8" width="10.140625" style="143" bestFit="1" customWidth="1"/>
    <col min="9" max="11" width="9.5703125" style="143" bestFit="1" customWidth="1"/>
    <col min="12" max="12" width="11.140625" style="143" bestFit="1" customWidth="1"/>
    <col min="13" max="17" width="9.5703125" style="143" bestFit="1" customWidth="1"/>
    <col min="18" max="21" width="9.140625" style="143"/>
    <col min="22" max="22" width="14" style="143" customWidth="1"/>
    <col min="23" max="16384" width="9.140625" style="143"/>
  </cols>
  <sheetData>
    <row r="1" spans="1:18" x14ac:dyDescent="0.25">
      <c r="A1"/>
      <c r="B1" s="6" t="str">
        <f>Label</f>
        <v>DeKalb County Population, 1900 to 2040</v>
      </c>
      <c r="C1" s="6"/>
      <c r="D1" s="6"/>
      <c r="E1" s="6"/>
      <c r="F1" s="6"/>
      <c r="G1" s="6"/>
      <c r="H1" s="6"/>
      <c r="I1" s="6"/>
      <c r="J1" s="6"/>
      <c r="K1" s="6"/>
      <c r="L1" s="6"/>
      <c r="M1" s="6"/>
      <c r="N1" s="6"/>
      <c r="O1" s="6"/>
      <c r="P1" s="6"/>
      <c r="Q1" s="6"/>
      <c r="R1"/>
    </row>
    <row r="2" spans="1:18" ht="15.75" thickBot="1" x14ac:dyDescent="0.3">
      <c r="A2"/>
      <c r="B2"/>
      <c r="C2"/>
      <c r="D2"/>
      <c r="E2"/>
      <c r="F2"/>
      <c r="G2"/>
      <c r="H2"/>
      <c r="I2"/>
      <c r="J2"/>
      <c r="K2"/>
      <c r="L2"/>
      <c r="M2"/>
      <c r="N2"/>
      <c r="O2"/>
      <c r="P2"/>
      <c r="Q2"/>
      <c r="R2"/>
    </row>
    <row r="3" spans="1:18" x14ac:dyDescent="0.25">
      <c r="A3"/>
      <c r="B3" s="107" t="s">
        <v>113</v>
      </c>
      <c r="C3" s="20" t="str">
        <f>Input!G6</f>
        <v>Observed</v>
      </c>
      <c r="D3" s="159" t="s">
        <v>116</v>
      </c>
      <c r="E3" s="160" t="str">
        <f>IF(units = "","Estimate/Projection","Estimate/Projection"&amp;" ("&amp;units&amp;")")</f>
        <v>Estimate/Projection (thousands)</v>
      </c>
      <c r="F3" s="161"/>
      <c r="G3" s="161"/>
      <c r="H3" s="162"/>
      <c r="I3" s="160" t="str">
        <f>IF(units="","Average Estimate/Projection for Columns","Average Estimate/Projection for Columns"&amp;" ("&amp;units&amp;")")</f>
        <v>Average Estimate/Projection for Columns (thousands)</v>
      </c>
      <c r="J3" s="161"/>
      <c r="K3" s="161"/>
      <c r="L3" s="163"/>
      <c r="M3" s="161"/>
      <c r="N3" s="161"/>
      <c r="O3" s="161"/>
      <c r="P3" s="161"/>
      <c r="Q3" s="161"/>
      <c r="R3" s="163"/>
    </row>
    <row r="4" spans="1:18" x14ac:dyDescent="0.25">
      <c r="A4"/>
      <c r="B4" s="108" t="s">
        <v>118</v>
      </c>
      <c r="C4" s="21" t="str">
        <f>IF(units="","","("&amp;units&amp;")")</f>
        <v>(thousands)</v>
      </c>
      <c r="D4" s="164" t="s">
        <v>111</v>
      </c>
      <c r="E4" s="3" t="s">
        <v>53</v>
      </c>
      <c r="F4" s="3" t="s">
        <v>54</v>
      </c>
      <c r="G4" s="3" t="s">
        <v>55</v>
      </c>
      <c r="H4" s="3" t="s">
        <v>79</v>
      </c>
      <c r="I4" s="165" t="s">
        <v>171</v>
      </c>
      <c r="J4" s="165" t="s">
        <v>95</v>
      </c>
      <c r="K4" s="165" t="s">
        <v>172</v>
      </c>
      <c r="L4" s="165" t="s">
        <v>173</v>
      </c>
      <c r="M4" s="165" t="s">
        <v>92</v>
      </c>
      <c r="N4" s="165" t="s">
        <v>93</v>
      </c>
      <c r="O4" s="165" t="s">
        <v>174</v>
      </c>
      <c r="P4" s="165" t="s">
        <v>94</v>
      </c>
      <c r="Q4" s="165" t="s">
        <v>175</v>
      </c>
      <c r="R4" s="166" t="s">
        <v>176</v>
      </c>
    </row>
    <row r="5" spans="1:18" x14ac:dyDescent="0.25">
      <c r="A5"/>
      <c r="B5" s="54" t="s">
        <v>2</v>
      </c>
      <c r="C5" s="44" t="s">
        <v>3</v>
      </c>
      <c r="D5" s="123" t="s">
        <v>4</v>
      </c>
      <c r="E5" s="43" t="s">
        <v>5</v>
      </c>
      <c r="F5" s="43" t="s">
        <v>6</v>
      </c>
      <c r="G5" s="43" t="s">
        <v>24</v>
      </c>
      <c r="H5" s="43" t="s">
        <v>25</v>
      </c>
      <c r="I5" s="43" t="s">
        <v>47</v>
      </c>
      <c r="J5" s="43" t="s">
        <v>56</v>
      </c>
      <c r="K5" s="43" t="s">
        <v>57</v>
      </c>
      <c r="L5" s="43" t="s">
        <v>62</v>
      </c>
      <c r="M5" s="43" t="s">
        <v>63</v>
      </c>
      <c r="N5" s="43" t="s">
        <v>64</v>
      </c>
      <c r="O5" s="43" t="s">
        <v>65</v>
      </c>
      <c r="P5" s="43" t="s">
        <v>100</v>
      </c>
      <c r="Q5" s="43" t="s">
        <v>101</v>
      </c>
      <c r="R5" s="44" t="s">
        <v>117</v>
      </c>
    </row>
    <row r="6" spans="1:18" x14ac:dyDescent="0.25">
      <c r="A6"/>
      <c r="B6" s="58">
        <f>VALUE(Computations!D6)</f>
        <v>1900</v>
      </c>
      <c r="C6" s="167">
        <f>IF(Input!G9&lt;&gt;0,ROUND(Input!G9,3),"")</f>
        <v>21.111999999999998</v>
      </c>
      <c r="D6" s="93" t="str">
        <f>Computations!F6</f>
        <v/>
      </c>
      <c r="E6" s="49" t="str">
        <f>Computations!E86</f>
        <v/>
      </c>
      <c r="F6" s="49" t="str">
        <f>Computations!F179</f>
        <v/>
      </c>
      <c r="G6" s="49" t="str">
        <f>Computations!E273</f>
        <v/>
      </c>
      <c r="H6" s="49" t="str">
        <f>IF(upper.limit,Computations!F373,Computations!F472)</f>
        <v/>
      </c>
      <c r="I6" s="168" t="str">
        <f t="shared" ref="I6:I30" si="0">IF(AND($D6&gt;=base.year,$D6&lt;&gt;""),ROUND(AVERAGE(E6:H6),3),"")</f>
        <v/>
      </c>
      <c r="J6" s="168" t="str">
        <f t="shared" ref="J6:J30" si="1">IF(AND($D6&lt;&gt;"",$D6&gt;=base.year),ROUND(AVERAGE(E6:G6),3),"")</f>
        <v/>
      </c>
      <c r="K6" s="168" t="str">
        <f t="shared" ref="K6:K30" si="2">IF(AND($D6&lt;&gt;"",$D6&gt;=base.year),ROUND(AVERAGE(E6,G6,H6),3),"")</f>
        <v/>
      </c>
      <c r="L6" s="168" t="str">
        <f>IF(AND($D6&lt;&gt;"",$D6&gt;=base.year),ROUND(AVERAGE(F6:H6),3),"")</f>
        <v/>
      </c>
      <c r="M6" s="168" t="str">
        <f t="shared" ref="M6:M30" si="3">IF(AND($D6&lt;&gt;"",$D6&gt;=base.year),ROUND(AVERAGE(E6:F6),3),"")</f>
        <v/>
      </c>
      <c r="N6" s="168" t="str">
        <f t="shared" ref="N6:N30" si="4">IF(AND($D6&lt;&gt;"",$D6&gt;=base.year),ROUND(AVERAGE(E6,G6),3),"")</f>
        <v/>
      </c>
      <c r="O6" s="168" t="str">
        <f>IF(AND($D6&lt;&gt;"",$D6&gt;=base.year),ROUND(AVERAGE(E6,H6),3),"")</f>
        <v/>
      </c>
      <c r="P6" s="168" t="str">
        <f t="shared" ref="P6:P30" si="5">IF(AND($D6&lt;&gt;"",$D6&gt;=base.year),ROUND(AVERAGE(F6:G6),3),"")</f>
        <v/>
      </c>
      <c r="Q6" s="168" t="str">
        <f t="shared" ref="Q6:Q30" si="6">IF(AND($D6&lt;&gt;"",$D6&gt;=base.year),ROUND(AVERAGE(F6,H6),3),"")</f>
        <v/>
      </c>
      <c r="R6" s="100" t="str">
        <f t="shared" ref="R6:R30" si="7">IF(AND($D6&lt;&gt;"",$D6&gt;=base.year),ROUND(AVERAGE(G6:H6),3),"")</f>
        <v/>
      </c>
    </row>
    <row r="7" spans="1:18" x14ac:dyDescent="0.25">
      <c r="A7"/>
      <c r="B7" s="58">
        <f>Computations!D7</f>
        <v>1910</v>
      </c>
      <c r="C7" s="167">
        <f>IF(Input!G10&lt;&gt;0,ROUND(Input!G10,3),"")</f>
        <v>27.881</v>
      </c>
      <c r="D7" s="93" t="str">
        <f>Computations!F7</f>
        <v/>
      </c>
      <c r="E7" s="49" t="str">
        <f>Computations!E87</f>
        <v/>
      </c>
      <c r="F7" s="49" t="str">
        <f>Computations!F180</f>
        <v/>
      </c>
      <c r="G7" s="49" t="str">
        <f>Computations!E274</f>
        <v/>
      </c>
      <c r="H7" s="49" t="str">
        <f>IF(upper.limit,Computations!F374,Computations!F473)</f>
        <v/>
      </c>
      <c r="I7" s="49" t="str">
        <f t="shared" si="0"/>
        <v/>
      </c>
      <c r="J7" s="49" t="str">
        <f t="shared" si="1"/>
        <v/>
      </c>
      <c r="K7" s="49" t="str">
        <f t="shared" si="2"/>
        <v/>
      </c>
      <c r="L7" s="49" t="str">
        <f t="shared" ref="L7:L30" si="8">IF(AND($D7&lt;&gt;"",$D7&gt;=base.year),ROUND(AVERAGE(F7:H7),3),"")</f>
        <v/>
      </c>
      <c r="M7" s="49" t="str">
        <f t="shared" si="3"/>
        <v/>
      </c>
      <c r="N7" s="49" t="str">
        <f t="shared" si="4"/>
        <v/>
      </c>
      <c r="O7" s="49" t="str">
        <f t="shared" ref="O7:O30" si="9">IF(AND($D7&lt;&gt;"",$D7&gt;=base.year),ROUND(AVERAGE(E7,H7),3),"")</f>
        <v/>
      </c>
      <c r="P7" s="49" t="str">
        <f t="shared" si="5"/>
        <v/>
      </c>
      <c r="Q7" s="49" t="str">
        <f t="shared" si="6"/>
        <v/>
      </c>
      <c r="R7" s="48" t="str">
        <f t="shared" si="7"/>
        <v/>
      </c>
    </row>
    <row r="8" spans="1:18" x14ac:dyDescent="0.25">
      <c r="A8"/>
      <c r="B8" s="58">
        <f>Computations!D8</f>
        <v>1920</v>
      </c>
      <c r="C8" s="167">
        <f>IF(Input!G11&lt;&gt;0,ROUND(Input!G11,3),"")</f>
        <v>44.051000000000002</v>
      </c>
      <c r="D8" s="93" t="str">
        <f>Computations!F8</f>
        <v/>
      </c>
      <c r="E8" s="49" t="str">
        <f>Computations!E88</f>
        <v/>
      </c>
      <c r="F8" s="49" t="str">
        <f>Computations!F181</f>
        <v/>
      </c>
      <c r="G8" s="49" t="str">
        <f>Computations!E275</f>
        <v/>
      </c>
      <c r="H8" s="49" t="str">
        <f>IF(upper.limit,Computations!F375,Computations!F474)</f>
        <v/>
      </c>
      <c r="I8" s="49" t="str">
        <f t="shared" si="0"/>
        <v/>
      </c>
      <c r="J8" s="49" t="str">
        <f t="shared" si="1"/>
        <v/>
      </c>
      <c r="K8" s="49" t="str">
        <f t="shared" si="2"/>
        <v/>
      </c>
      <c r="L8" s="49" t="str">
        <f t="shared" si="8"/>
        <v/>
      </c>
      <c r="M8" s="49" t="str">
        <f t="shared" si="3"/>
        <v/>
      </c>
      <c r="N8" s="49" t="str">
        <f t="shared" si="4"/>
        <v/>
      </c>
      <c r="O8" s="49" t="str">
        <f t="shared" si="9"/>
        <v/>
      </c>
      <c r="P8" s="49" t="str">
        <f t="shared" si="5"/>
        <v/>
      </c>
      <c r="Q8" s="49" t="str">
        <f t="shared" si="6"/>
        <v/>
      </c>
      <c r="R8" s="48" t="str">
        <f t="shared" si="7"/>
        <v/>
      </c>
    </row>
    <row r="9" spans="1:18" x14ac:dyDescent="0.25">
      <c r="A9"/>
      <c r="B9" s="58">
        <f>Computations!D9</f>
        <v>1930</v>
      </c>
      <c r="C9" s="167">
        <f>IF(Input!G12&lt;&gt;0,ROUND(Input!G12,3),"")</f>
        <v>70.278000000000006</v>
      </c>
      <c r="D9" s="93" t="str">
        <f>Computations!F9</f>
        <v/>
      </c>
      <c r="E9" s="49" t="str">
        <f>Computations!E89</f>
        <v/>
      </c>
      <c r="F9" s="49" t="str">
        <f>Computations!F182</f>
        <v/>
      </c>
      <c r="G9" s="49" t="str">
        <f>Computations!E276</f>
        <v/>
      </c>
      <c r="H9" s="49" t="str">
        <f>IF(upper.limit,Computations!F376,Computations!F475)</f>
        <v/>
      </c>
      <c r="I9" s="49" t="str">
        <f t="shared" si="0"/>
        <v/>
      </c>
      <c r="J9" s="49" t="str">
        <f t="shared" si="1"/>
        <v/>
      </c>
      <c r="K9" s="49" t="str">
        <f t="shared" si="2"/>
        <v/>
      </c>
      <c r="L9" s="49" t="str">
        <f t="shared" si="8"/>
        <v/>
      </c>
      <c r="M9" s="49" t="str">
        <f t="shared" si="3"/>
        <v/>
      </c>
      <c r="N9" s="49" t="str">
        <f t="shared" si="4"/>
        <v/>
      </c>
      <c r="O9" s="49" t="str">
        <f t="shared" si="9"/>
        <v/>
      </c>
      <c r="P9" s="49" t="str">
        <f t="shared" si="5"/>
        <v/>
      </c>
      <c r="Q9" s="49" t="str">
        <f t="shared" si="6"/>
        <v/>
      </c>
      <c r="R9" s="48" t="str">
        <f t="shared" si="7"/>
        <v/>
      </c>
    </row>
    <row r="10" spans="1:18" x14ac:dyDescent="0.25">
      <c r="A10"/>
      <c r="B10" s="58">
        <f>Computations!D10</f>
        <v>1940</v>
      </c>
      <c r="C10" s="167">
        <f>IF(Input!G13&lt;&gt;0,ROUND(Input!G13,3),"")</f>
        <v>86.941999999999993</v>
      </c>
      <c r="D10" s="93" t="str">
        <f>Computations!F10</f>
        <v/>
      </c>
      <c r="E10" s="49" t="str">
        <f>Computations!E90</f>
        <v/>
      </c>
      <c r="F10" s="49" t="str">
        <f>Computations!F183</f>
        <v/>
      </c>
      <c r="G10" s="49" t="str">
        <f>Computations!E277</f>
        <v/>
      </c>
      <c r="H10" s="49" t="str">
        <f>IF(upper.limit,Computations!F377,Computations!F476)</f>
        <v/>
      </c>
      <c r="I10" s="49" t="str">
        <f t="shared" si="0"/>
        <v/>
      </c>
      <c r="J10" s="49" t="str">
        <f t="shared" si="1"/>
        <v/>
      </c>
      <c r="K10" s="49" t="str">
        <f t="shared" si="2"/>
        <v/>
      </c>
      <c r="L10" s="49" t="str">
        <f t="shared" si="8"/>
        <v/>
      </c>
      <c r="M10" s="49" t="str">
        <f t="shared" si="3"/>
        <v/>
      </c>
      <c r="N10" s="49" t="str">
        <f t="shared" si="4"/>
        <v/>
      </c>
      <c r="O10" s="49" t="str">
        <f t="shared" si="9"/>
        <v/>
      </c>
      <c r="P10" s="49" t="str">
        <f t="shared" si="5"/>
        <v/>
      </c>
      <c r="Q10" s="49" t="str">
        <f t="shared" si="6"/>
        <v/>
      </c>
      <c r="R10" s="48" t="str">
        <f t="shared" si="7"/>
        <v/>
      </c>
    </row>
    <row r="11" spans="1:18" x14ac:dyDescent="0.25">
      <c r="A11"/>
      <c r="B11" s="58">
        <f>Computations!D11</f>
        <v>1950</v>
      </c>
      <c r="C11" s="167">
        <f>IF(Input!G14&lt;&gt;0,ROUND(Input!G14,3),"")</f>
        <v>136.39500000000001</v>
      </c>
      <c r="D11" s="93" t="str">
        <f>Computations!F11</f>
        <v/>
      </c>
      <c r="E11" s="49" t="str">
        <f>Computations!E91</f>
        <v/>
      </c>
      <c r="F11" s="49" t="str">
        <f>Computations!F184</f>
        <v/>
      </c>
      <c r="G11" s="49" t="str">
        <f>Computations!E278</f>
        <v/>
      </c>
      <c r="H11" s="49" t="str">
        <f>IF(upper.limit,Computations!F378,Computations!F477)</f>
        <v/>
      </c>
      <c r="I11" s="49" t="str">
        <f t="shared" si="0"/>
        <v/>
      </c>
      <c r="J11" s="49" t="str">
        <f t="shared" si="1"/>
        <v/>
      </c>
      <c r="K11" s="49" t="str">
        <f t="shared" si="2"/>
        <v/>
      </c>
      <c r="L11" s="49" t="str">
        <f t="shared" si="8"/>
        <v/>
      </c>
      <c r="M11" s="49" t="str">
        <f t="shared" si="3"/>
        <v/>
      </c>
      <c r="N11" s="49" t="str">
        <f t="shared" si="4"/>
        <v/>
      </c>
      <c r="O11" s="49" t="str">
        <f t="shared" si="9"/>
        <v/>
      </c>
      <c r="P11" s="49" t="str">
        <f t="shared" si="5"/>
        <v/>
      </c>
      <c r="Q11" s="49" t="str">
        <f t="shared" si="6"/>
        <v/>
      </c>
      <c r="R11" s="48" t="str">
        <f t="shared" si="7"/>
        <v/>
      </c>
    </row>
    <row r="12" spans="1:18" x14ac:dyDescent="0.25">
      <c r="A12"/>
      <c r="B12" s="58">
        <f>Computations!D12</f>
        <v>1960</v>
      </c>
      <c r="C12" s="167">
        <f>IF(Input!G15&lt;&gt;0,ROUND(Input!G15,3),"")</f>
        <v>256.78199999999998</v>
      </c>
      <c r="D12" s="93" t="str">
        <f>Computations!F12</f>
        <v/>
      </c>
      <c r="E12" s="49" t="str">
        <f>Computations!E92</f>
        <v/>
      </c>
      <c r="F12" s="49" t="str">
        <f>Computations!F185</f>
        <v/>
      </c>
      <c r="G12" s="49" t="str">
        <f>Computations!E279</f>
        <v/>
      </c>
      <c r="H12" s="49" t="str">
        <f>IF(upper.limit,Computations!F379,Computations!F478)</f>
        <v/>
      </c>
      <c r="I12" s="49" t="str">
        <f t="shared" si="0"/>
        <v/>
      </c>
      <c r="J12" s="49" t="str">
        <f t="shared" si="1"/>
        <v/>
      </c>
      <c r="K12" s="49" t="str">
        <f t="shared" si="2"/>
        <v/>
      </c>
      <c r="L12" s="49" t="str">
        <f t="shared" si="8"/>
        <v/>
      </c>
      <c r="M12" s="49" t="str">
        <f t="shared" si="3"/>
        <v/>
      </c>
      <c r="N12" s="49" t="str">
        <f t="shared" si="4"/>
        <v/>
      </c>
      <c r="O12" s="49" t="str">
        <f t="shared" si="9"/>
        <v/>
      </c>
      <c r="P12" s="49" t="str">
        <f t="shared" si="5"/>
        <v/>
      </c>
      <c r="Q12" s="49" t="str">
        <f t="shared" si="6"/>
        <v/>
      </c>
      <c r="R12" s="48" t="str">
        <f t="shared" si="7"/>
        <v/>
      </c>
    </row>
    <row r="13" spans="1:18" x14ac:dyDescent="0.25">
      <c r="A13"/>
      <c r="B13" s="58">
        <f>Computations!D13</f>
        <v>1970</v>
      </c>
      <c r="C13" s="167">
        <f>IF(Input!G16&lt;&gt;0,ROUND(Input!G16,3),"")</f>
        <v>415.387</v>
      </c>
      <c r="D13" s="93" t="str">
        <f>Computations!F13</f>
        <v/>
      </c>
      <c r="E13" s="49" t="str">
        <f>Computations!E93</f>
        <v/>
      </c>
      <c r="F13" s="49" t="str">
        <f>Computations!F186</f>
        <v/>
      </c>
      <c r="G13" s="49" t="str">
        <f>Computations!E280</f>
        <v/>
      </c>
      <c r="H13" s="49" t="str">
        <f>IF(upper.limit,Computations!F380,Computations!F479)</f>
        <v/>
      </c>
      <c r="I13" s="49" t="str">
        <f t="shared" si="0"/>
        <v/>
      </c>
      <c r="J13" s="49" t="str">
        <f t="shared" si="1"/>
        <v/>
      </c>
      <c r="K13" s="49" t="str">
        <f t="shared" si="2"/>
        <v/>
      </c>
      <c r="L13" s="49" t="str">
        <f t="shared" si="8"/>
        <v/>
      </c>
      <c r="M13" s="49" t="str">
        <f t="shared" si="3"/>
        <v/>
      </c>
      <c r="N13" s="49" t="str">
        <f t="shared" si="4"/>
        <v/>
      </c>
      <c r="O13" s="49" t="str">
        <f t="shared" si="9"/>
        <v/>
      </c>
      <c r="P13" s="49" t="str">
        <f t="shared" si="5"/>
        <v/>
      </c>
      <c r="Q13" s="49" t="str">
        <f t="shared" si="6"/>
        <v/>
      </c>
      <c r="R13" s="48" t="str">
        <f t="shared" si="7"/>
        <v/>
      </c>
    </row>
    <row r="14" spans="1:18" x14ac:dyDescent="0.25">
      <c r="A14"/>
      <c r="B14" s="58">
        <f>Computations!D14</f>
        <v>1980</v>
      </c>
      <c r="C14" s="167">
        <f>IF(Input!G17&lt;&gt;0,ROUND(Input!G17,3),"")</f>
        <v>483.024</v>
      </c>
      <c r="D14" s="93" t="str">
        <f>Computations!F14</f>
        <v/>
      </c>
      <c r="E14" s="49" t="str">
        <f>Computations!E94</f>
        <v/>
      </c>
      <c r="F14" s="49" t="str">
        <f>Computations!F187</f>
        <v/>
      </c>
      <c r="G14" s="49" t="str">
        <f>Computations!E281</f>
        <v/>
      </c>
      <c r="H14" s="49" t="str">
        <f>IF(upper.limit,Computations!F381,Computations!F480)</f>
        <v/>
      </c>
      <c r="I14" s="49" t="str">
        <f t="shared" si="0"/>
        <v/>
      </c>
      <c r="J14" s="49" t="str">
        <f t="shared" si="1"/>
        <v/>
      </c>
      <c r="K14" s="49" t="str">
        <f t="shared" si="2"/>
        <v/>
      </c>
      <c r="L14" s="49" t="str">
        <f t="shared" si="8"/>
        <v/>
      </c>
      <c r="M14" s="49" t="str">
        <f t="shared" si="3"/>
        <v/>
      </c>
      <c r="N14" s="49" t="str">
        <f t="shared" si="4"/>
        <v/>
      </c>
      <c r="O14" s="49" t="str">
        <f t="shared" si="9"/>
        <v/>
      </c>
      <c r="P14" s="49" t="str">
        <f t="shared" si="5"/>
        <v/>
      </c>
      <c r="Q14" s="49" t="str">
        <f t="shared" si="6"/>
        <v/>
      </c>
      <c r="R14" s="48" t="str">
        <f t="shared" si="7"/>
        <v/>
      </c>
    </row>
    <row r="15" spans="1:18" x14ac:dyDescent="0.25">
      <c r="A15"/>
      <c r="B15" s="58">
        <f>Computations!D15</f>
        <v>1990</v>
      </c>
      <c r="C15" s="167">
        <f>IF(Input!G18&lt;&gt;0,ROUND(Input!G18,3),"")</f>
        <v>545.83699999999999</v>
      </c>
      <c r="D15" s="93">
        <f>Computations!F15</f>
        <v>1990</v>
      </c>
      <c r="E15" s="49">
        <f>Computations!E95</f>
        <v>561.50400000000002</v>
      </c>
      <c r="F15" s="49">
        <f>Computations!F188</f>
        <v>560.62800000000004</v>
      </c>
      <c r="G15" s="49">
        <f>Computations!E282</f>
        <v>545.83699999999999</v>
      </c>
      <c r="H15" s="49">
        <f>IF(upper.limit,Computations!F382,Computations!F481)</f>
        <v>562.24099999999999</v>
      </c>
      <c r="I15" s="49">
        <f t="shared" si="0"/>
        <v>557.553</v>
      </c>
      <c r="J15" s="49">
        <f t="shared" si="1"/>
        <v>555.99</v>
      </c>
      <c r="K15" s="49">
        <f t="shared" si="2"/>
        <v>556.52700000000004</v>
      </c>
      <c r="L15" s="49">
        <f t="shared" si="8"/>
        <v>556.23500000000001</v>
      </c>
      <c r="M15" s="49">
        <f t="shared" si="3"/>
        <v>561.06600000000003</v>
      </c>
      <c r="N15" s="49">
        <f t="shared" si="4"/>
        <v>553.67100000000005</v>
      </c>
      <c r="O15" s="49">
        <f t="shared" si="9"/>
        <v>561.87300000000005</v>
      </c>
      <c r="P15" s="49">
        <f t="shared" si="5"/>
        <v>553.23299999999995</v>
      </c>
      <c r="Q15" s="49">
        <f t="shared" si="6"/>
        <v>561.43499999999995</v>
      </c>
      <c r="R15" s="48">
        <f t="shared" si="7"/>
        <v>554.03899999999999</v>
      </c>
    </row>
    <row r="16" spans="1:18" x14ac:dyDescent="0.25">
      <c r="A16"/>
      <c r="B16" s="58">
        <f>Computations!D16</f>
        <v>2000</v>
      </c>
      <c r="C16" s="167">
        <f>IF(Input!G19&lt;&gt;0,ROUND(Input!G19,3),"")</f>
        <v>665.86500000000001</v>
      </c>
      <c r="D16" s="93">
        <f>Computations!F16</f>
        <v>2000</v>
      </c>
      <c r="E16" s="49">
        <f>Computations!E96</f>
        <v>634.53200000000004</v>
      </c>
      <c r="F16" s="49">
        <f>Computations!F189</f>
        <v>631.19399999999996</v>
      </c>
      <c r="G16" s="49">
        <f>Computations!E283</f>
        <v>665.86500000000001</v>
      </c>
      <c r="H16" s="49">
        <f>IF(upper.limit,Computations!F383,Computations!F482)</f>
        <v>638.72299999999996</v>
      </c>
      <c r="I16" s="49">
        <f t="shared" si="0"/>
        <v>642.57899999999995</v>
      </c>
      <c r="J16" s="49">
        <f t="shared" si="1"/>
        <v>643.86400000000003</v>
      </c>
      <c r="K16" s="49">
        <f t="shared" si="2"/>
        <v>646.37300000000005</v>
      </c>
      <c r="L16" s="49">
        <f t="shared" si="8"/>
        <v>645.26099999999997</v>
      </c>
      <c r="M16" s="49">
        <f t="shared" si="3"/>
        <v>632.86300000000006</v>
      </c>
      <c r="N16" s="49">
        <f t="shared" si="4"/>
        <v>650.19899999999996</v>
      </c>
      <c r="O16" s="49">
        <f t="shared" si="9"/>
        <v>636.62800000000004</v>
      </c>
      <c r="P16" s="49">
        <f t="shared" si="5"/>
        <v>648.53</v>
      </c>
      <c r="Q16" s="49">
        <f t="shared" si="6"/>
        <v>634.95899999999995</v>
      </c>
      <c r="R16" s="48">
        <f t="shared" si="7"/>
        <v>652.29399999999998</v>
      </c>
    </row>
    <row r="17" spans="1:18" x14ac:dyDescent="0.25">
      <c r="A17"/>
      <c r="B17" s="58">
        <f>Computations!D17</f>
        <v>2010</v>
      </c>
      <c r="C17" s="167">
        <f>IF(Input!G20&lt;&gt;0,ROUND(Input!G20,3),"")</f>
        <v>691.89300000000003</v>
      </c>
      <c r="D17" s="93">
        <f>Computations!F17</f>
        <v>2010</v>
      </c>
      <c r="E17" s="49">
        <f>Computations!E97</f>
        <v>707.56</v>
      </c>
      <c r="F17" s="49">
        <f>Computations!F190</f>
        <v>710.64200000000005</v>
      </c>
      <c r="G17" s="49">
        <f>Computations!E284</f>
        <v>691.89300000000003</v>
      </c>
      <c r="H17" s="49">
        <f>IF(upper.limit,Computations!F384,Computations!F483)</f>
        <v>703.87900000000002</v>
      </c>
      <c r="I17" s="49">
        <f t="shared" si="0"/>
        <v>703.49400000000003</v>
      </c>
      <c r="J17" s="49">
        <f t="shared" si="1"/>
        <v>703.36500000000001</v>
      </c>
      <c r="K17" s="49">
        <f t="shared" si="2"/>
        <v>701.11099999999999</v>
      </c>
      <c r="L17" s="49">
        <f t="shared" si="8"/>
        <v>702.13800000000003</v>
      </c>
      <c r="M17" s="49">
        <f t="shared" si="3"/>
        <v>709.101</v>
      </c>
      <c r="N17" s="49">
        <f t="shared" si="4"/>
        <v>699.72699999999998</v>
      </c>
      <c r="O17" s="49">
        <f t="shared" si="9"/>
        <v>705.72</v>
      </c>
      <c r="P17" s="49">
        <f t="shared" si="5"/>
        <v>701.26800000000003</v>
      </c>
      <c r="Q17" s="49">
        <f t="shared" si="6"/>
        <v>707.26099999999997</v>
      </c>
      <c r="R17" s="48">
        <f t="shared" si="7"/>
        <v>697.88599999999997</v>
      </c>
    </row>
    <row r="18" spans="1:18" x14ac:dyDescent="0.25">
      <c r="A18"/>
      <c r="B18" s="58" t="str">
        <f>Computations!D18</f>
        <v/>
      </c>
      <c r="C18" s="167" t="str">
        <f>IF(Input!G21&lt;&gt;0,ROUND(Input!G21,3),"")</f>
        <v/>
      </c>
      <c r="D18" s="93">
        <f>Computations!F18</f>
        <v>2020</v>
      </c>
      <c r="E18" s="49">
        <f>Computations!E98</f>
        <v>780.58799999999997</v>
      </c>
      <c r="F18" s="49">
        <f>Computations!F191</f>
        <v>800.09</v>
      </c>
      <c r="G18" s="49">
        <f>Computations!E285</f>
        <v>623.92100000000005</v>
      </c>
      <c r="H18" s="49">
        <f>IF(upper.limit,Computations!F385,Computations!F484)</f>
        <v>757.92600000000004</v>
      </c>
      <c r="I18" s="49">
        <f t="shared" si="0"/>
        <v>740.63099999999997</v>
      </c>
      <c r="J18" s="49">
        <f t="shared" si="1"/>
        <v>734.86599999999999</v>
      </c>
      <c r="K18" s="49">
        <f t="shared" si="2"/>
        <v>720.81200000000001</v>
      </c>
      <c r="L18" s="49">
        <f t="shared" si="8"/>
        <v>727.31200000000001</v>
      </c>
      <c r="M18" s="49">
        <f t="shared" si="3"/>
        <v>790.33900000000006</v>
      </c>
      <c r="N18" s="49">
        <f t="shared" si="4"/>
        <v>702.255</v>
      </c>
      <c r="O18" s="49">
        <f t="shared" si="9"/>
        <v>769.25699999999995</v>
      </c>
      <c r="P18" s="49">
        <f t="shared" si="5"/>
        <v>712.00599999999997</v>
      </c>
      <c r="Q18" s="49">
        <f t="shared" si="6"/>
        <v>779.00800000000004</v>
      </c>
      <c r="R18" s="48">
        <f t="shared" si="7"/>
        <v>690.92399999999998</v>
      </c>
    </row>
    <row r="19" spans="1:18" x14ac:dyDescent="0.25">
      <c r="A19"/>
      <c r="B19" s="58" t="str">
        <f>Computations!D19</f>
        <v/>
      </c>
      <c r="C19" s="167" t="str">
        <f>IF(Input!G22&lt;&gt;0,ROUND(Input!G22,3),"")</f>
        <v/>
      </c>
      <c r="D19" s="93">
        <f>Computations!F19</f>
        <v>2030</v>
      </c>
      <c r="E19" s="49">
        <f>Computations!E99</f>
        <v>853.61599999999999</v>
      </c>
      <c r="F19" s="49">
        <f>Computations!F192</f>
        <v>900.79600000000005</v>
      </c>
      <c r="G19" s="49">
        <f>Computations!E286</f>
        <v>461.94900000000001</v>
      </c>
      <c r="H19" s="49">
        <f>IF(upper.limit,Computations!F386,Computations!F485)</f>
        <v>801.85599999999999</v>
      </c>
      <c r="I19" s="49">
        <f t="shared" si="0"/>
        <v>754.55399999999997</v>
      </c>
      <c r="J19" s="49">
        <f t="shared" si="1"/>
        <v>738.78700000000003</v>
      </c>
      <c r="K19" s="49">
        <f t="shared" si="2"/>
        <v>705.80700000000002</v>
      </c>
      <c r="L19" s="49">
        <f t="shared" si="8"/>
        <v>721.53399999999999</v>
      </c>
      <c r="M19" s="49">
        <f t="shared" si="3"/>
        <v>877.20600000000002</v>
      </c>
      <c r="N19" s="49">
        <f t="shared" si="4"/>
        <v>657.78300000000002</v>
      </c>
      <c r="O19" s="49">
        <f t="shared" si="9"/>
        <v>827.73599999999999</v>
      </c>
      <c r="P19" s="49">
        <f t="shared" si="5"/>
        <v>681.37300000000005</v>
      </c>
      <c r="Q19" s="49">
        <f t="shared" si="6"/>
        <v>851.32600000000002</v>
      </c>
      <c r="R19" s="48">
        <f t="shared" si="7"/>
        <v>631.90300000000002</v>
      </c>
    </row>
    <row r="20" spans="1:18" x14ac:dyDescent="0.25">
      <c r="A20"/>
      <c r="B20" s="58" t="str">
        <f>Computations!D20</f>
        <v/>
      </c>
      <c r="C20" s="167" t="str">
        <f>IF(Input!G23&lt;&gt;0,ROUND(Input!G23,3),"")</f>
        <v/>
      </c>
      <c r="D20" s="93">
        <f>Computations!F20</f>
        <v>2040</v>
      </c>
      <c r="E20" s="49">
        <f>Computations!E100</f>
        <v>926.64400000000001</v>
      </c>
      <c r="F20" s="49">
        <f>Computations!F193</f>
        <v>1014.179</v>
      </c>
      <c r="G20" s="49">
        <f>Computations!E287</f>
        <v>205.977</v>
      </c>
      <c r="H20" s="49">
        <f>IF(upper.limit,Computations!F387,Computations!F486)</f>
        <v>837.01400000000001</v>
      </c>
      <c r="I20" s="49">
        <f t="shared" si="0"/>
        <v>745.95399999999995</v>
      </c>
      <c r="J20" s="49">
        <f t="shared" si="1"/>
        <v>715.6</v>
      </c>
      <c r="K20" s="49">
        <f t="shared" si="2"/>
        <v>656.54499999999996</v>
      </c>
      <c r="L20" s="49">
        <f t="shared" si="8"/>
        <v>685.72299999999996</v>
      </c>
      <c r="M20" s="49">
        <f t="shared" si="3"/>
        <v>970.41200000000003</v>
      </c>
      <c r="N20" s="49">
        <f t="shared" si="4"/>
        <v>566.31100000000004</v>
      </c>
      <c r="O20" s="49">
        <f t="shared" si="9"/>
        <v>881.82899999999995</v>
      </c>
      <c r="P20" s="49">
        <f t="shared" si="5"/>
        <v>610.07799999999997</v>
      </c>
      <c r="Q20" s="49">
        <f t="shared" si="6"/>
        <v>925.59699999999998</v>
      </c>
      <c r="R20" s="48">
        <f t="shared" si="7"/>
        <v>521.49599999999998</v>
      </c>
    </row>
    <row r="21" spans="1:18" x14ac:dyDescent="0.25">
      <c r="A21"/>
      <c r="B21" s="58" t="str">
        <f>Computations!D21</f>
        <v/>
      </c>
      <c r="C21" s="167" t="str">
        <f>IF(Input!G24&lt;&gt;0,ROUND(Input!G24,3),"")</f>
        <v/>
      </c>
      <c r="D21" s="93" t="str">
        <f>Computations!F21</f>
        <v/>
      </c>
      <c r="E21" s="49" t="str">
        <f>Computations!E101</f>
        <v/>
      </c>
      <c r="F21" s="49" t="str">
        <f>Computations!F194</f>
        <v/>
      </c>
      <c r="G21" s="49" t="str">
        <f>Computations!E288</f>
        <v/>
      </c>
      <c r="H21" s="49" t="str">
        <f>IF(upper.limit,Computations!F388,Computations!F487)</f>
        <v/>
      </c>
      <c r="I21" s="49" t="str">
        <f t="shared" si="0"/>
        <v/>
      </c>
      <c r="J21" s="49" t="str">
        <f t="shared" si="1"/>
        <v/>
      </c>
      <c r="K21" s="49" t="str">
        <f t="shared" si="2"/>
        <v/>
      </c>
      <c r="L21" s="49" t="str">
        <f t="shared" si="8"/>
        <v/>
      </c>
      <c r="M21" s="49" t="str">
        <f t="shared" si="3"/>
        <v/>
      </c>
      <c r="N21" s="49" t="str">
        <f t="shared" si="4"/>
        <v/>
      </c>
      <c r="O21" s="49" t="str">
        <f t="shared" si="9"/>
        <v/>
      </c>
      <c r="P21" s="49" t="str">
        <f t="shared" si="5"/>
        <v/>
      </c>
      <c r="Q21" s="49" t="str">
        <f t="shared" si="6"/>
        <v/>
      </c>
      <c r="R21" s="48" t="str">
        <f t="shared" si="7"/>
        <v/>
      </c>
    </row>
    <row r="22" spans="1:18" x14ac:dyDescent="0.25">
      <c r="A22"/>
      <c r="B22" s="58" t="str">
        <f>Computations!D22</f>
        <v/>
      </c>
      <c r="C22" s="167" t="str">
        <f>IF(Input!G25&lt;&gt;0,ROUND(Input!G25,3),"")</f>
        <v/>
      </c>
      <c r="D22" s="93" t="str">
        <f>Computations!F22</f>
        <v/>
      </c>
      <c r="E22" s="49" t="str">
        <f>Computations!E102</f>
        <v/>
      </c>
      <c r="F22" s="49" t="str">
        <f>Computations!F195</f>
        <v/>
      </c>
      <c r="G22" s="49" t="str">
        <f>Computations!E289</f>
        <v/>
      </c>
      <c r="H22" s="49" t="str">
        <f>IF(upper.limit,Computations!F389,Computations!F488)</f>
        <v/>
      </c>
      <c r="I22" s="49" t="str">
        <f t="shared" si="0"/>
        <v/>
      </c>
      <c r="J22" s="49" t="str">
        <f t="shared" si="1"/>
        <v/>
      </c>
      <c r="K22" s="49" t="str">
        <f t="shared" si="2"/>
        <v/>
      </c>
      <c r="L22" s="49" t="str">
        <f t="shared" si="8"/>
        <v/>
      </c>
      <c r="M22" s="49" t="str">
        <f t="shared" si="3"/>
        <v/>
      </c>
      <c r="N22" s="49" t="str">
        <f t="shared" si="4"/>
        <v/>
      </c>
      <c r="O22" s="49" t="str">
        <f t="shared" si="9"/>
        <v/>
      </c>
      <c r="P22" s="49" t="str">
        <f t="shared" si="5"/>
        <v/>
      </c>
      <c r="Q22" s="49" t="str">
        <f t="shared" si="6"/>
        <v/>
      </c>
      <c r="R22" s="48" t="str">
        <f t="shared" si="7"/>
        <v/>
      </c>
    </row>
    <row r="23" spans="1:18" x14ac:dyDescent="0.25">
      <c r="A23"/>
      <c r="B23" s="58" t="str">
        <f>Computations!D23</f>
        <v/>
      </c>
      <c r="C23" s="167" t="str">
        <f>IF(Input!G26&lt;&gt;0,ROUND(Input!G26,3),"")</f>
        <v/>
      </c>
      <c r="D23" s="93" t="str">
        <f>Computations!F23</f>
        <v/>
      </c>
      <c r="E23" s="49" t="str">
        <f>Computations!E103</f>
        <v/>
      </c>
      <c r="F23" s="49" t="str">
        <f>Computations!F196</f>
        <v/>
      </c>
      <c r="G23" s="49" t="str">
        <f>Computations!E290</f>
        <v/>
      </c>
      <c r="H23" s="49" t="str">
        <f>IF(upper.limit,Computations!F390,Computations!F489)</f>
        <v/>
      </c>
      <c r="I23" s="49" t="str">
        <f t="shared" si="0"/>
        <v/>
      </c>
      <c r="J23" s="49" t="str">
        <f t="shared" si="1"/>
        <v/>
      </c>
      <c r="K23" s="49" t="str">
        <f t="shared" si="2"/>
        <v/>
      </c>
      <c r="L23" s="49" t="str">
        <f t="shared" si="8"/>
        <v/>
      </c>
      <c r="M23" s="49" t="str">
        <f t="shared" si="3"/>
        <v/>
      </c>
      <c r="N23" s="49" t="str">
        <f t="shared" si="4"/>
        <v/>
      </c>
      <c r="O23" s="49" t="str">
        <f t="shared" si="9"/>
        <v/>
      </c>
      <c r="P23" s="49" t="str">
        <f t="shared" si="5"/>
        <v/>
      </c>
      <c r="Q23" s="49" t="str">
        <f t="shared" si="6"/>
        <v/>
      </c>
      <c r="R23" s="48" t="str">
        <f t="shared" si="7"/>
        <v/>
      </c>
    </row>
    <row r="24" spans="1:18" x14ac:dyDescent="0.25">
      <c r="A24"/>
      <c r="B24" s="58" t="str">
        <f>Computations!D24</f>
        <v/>
      </c>
      <c r="C24" s="167" t="str">
        <f>IF(Input!G27&lt;&gt;0,ROUND(Input!G27,3),"")</f>
        <v/>
      </c>
      <c r="D24" s="93" t="str">
        <f>Computations!F24</f>
        <v/>
      </c>
      <c r="E24" s="49" t="str">
        <f>Computations!E104</f>
        <v/>
      </c>
      <c r="F24" s="49" t="str">
        <f>Computations!F197</f>
        <v/>
      </c>
      <c r="G24" s="49" t="str">
        <f>Computations!E291</f>
        <v/>
      </c>
      <c r="H24" s="49" t="str">
        <f>IF(upper.limit,Computations!F391,Computations!F490)</f>
        <v/>
      </c>
      <c r="I24" s="49" t="str">
        <f t="shared" si="0"/>
        <v/>
      </c>
      <c r="J24" s="49" t="str">
        <f t="shared" si="1"/>
        <v/>
      </c>
      <c r="K24" s="49" t="str">
        <f t="shared" si="2"/>
        <v/>
      </c>
      <c r="L24" s="49" t="str">
        <f t="shared" si="8"/>
        <v/>
      </c>
      <c r="M24" s="49" t="str">
        <f t="shared" si="3"/>
        <v/>
      </c>
      <c r="N24" s="49" t="str">
        <f t="shared" si="4"/>
        <v/>
      </c>
      <c r="O24" s="49" t="str">
        <f t="shared" si="9"/>
        <v/>
      </c>
      <c r="P24" s="49" t="str">
        <f t="shared" si="5"/>
        <v/>
      </c>
      <c r="Q24" s="49" t="str">
        <f t="shared" si="6"/>
        <v/>
      </c>
      <c r="R24" s="48" t="str">
        <f t="shared" si="7"/>
        <v/>
      </c>
    </row>
    <row r="25" spans="1:18" x14ac:dyDescent="0.25">
      <c r="A25"/>
      <c r="B25" s="58" t="str">
        <f>Computations!D25</f>
        <v/>
      </c>
      <c r="C25" s="167" t="str">
        <f>IF(Input!G28&lt;&gt;0,ROUND(Input!G28,3),"")</f>
        <v/>
      </c>
      <c r="D25" s="93" t="str">
        <f>Computations!F25</f>
        <v/>
      </c>
      <c r="E25" s="49" t="str">
        <f>Computations!E105</f>
        <v/>
      </c>
      <c r="F25" s="49" t="str">
        <f>Computations!F198</f>
        <v/>
      </c>
      <c r="G25" s="49" t="str">
        <f>Computations!E292</f>
        <v/>
      </c>
      <c r="H25" s="49" t="str">
        <f>IF(upper.limit,Computations!F392,Computations!F491)</f>
        <v/>
      </c>
      <c r="I25" s="49" t="str">
        <f t="shared" si="0"/>
        <v/>
      </c>
      <c r="J25" s="49" t="str">
        <f t="shared" si="1"/>
        <v/>
      </c>
      <c r="K25" s="49" t="str">
        <f t="shared" si="2"/>
        <v/>
      </c>
      <c r="L25" s="49" t="str">
        <f t="shared" si="8"/>
        <v/>
      </c>
      <c r="M25" s="49" t="str">
        <f t="shared" si="3"/>
        <v/>
      </c>
      <c r="N25" s="49" t="str">
        <f t="shared" si="4"/>
        <v/>
      </c>
      <c r="O25" s="49" t="str">
        <f t="shared" si="9"/>
        <v/>
      </c>
      <c r="P25" s="49" t="str">
        <f t="shared" si="5"/>
        <v/>
      </c>
      <c r="Q25" s="49" t="str">
        <f t="shared" si="6"/>
        <v/>
      </c>
      <c r="R25" s="48" t="str">
        <f t="shared" si="7"/>
        <v/>
      </c>
    </row>
    <row r="26" spans="1:18" x14ac:dyDescent="0.25">
      <c r="A26"/>
      <c r="B26" s="58" t="str">
        <f>Computations!D26</f>
        <v/>
      </c>
      <c r="C26" s="167" t="str">
        <f>IF(Input!G29&lt;&gt;0,ROUND(Input!G29,3),"")</f>
        <v/>
      </c>
      <c r="D26" s="93" t="str">
        <f>Computations!F26</f>
        <v/>
      </c>
      <c r="E26" s="49" t="str">
        <f>Computations!E106</f>
        <v/>
      </c>
      <c r="F26" s="49" t="str">
        <f>Computations!F199</f>
        <v/>
      </c>
      <c r="G26" s="49" t="str">
        <f>Computations!E293</f>
        <v/>
      </c>
      <c r="H26" s="49" t="str">
        <f>IF(upper.limit,Computations!F393,Computations!F492)</f>
        <v/>
      </c>
      <c r="I26" s="49" t="str">
        <f t="shared" si="0"/>
        <v/>
      </c>
      <c r="J26" s="49" t="str">
        <f t="shared" si="1"/>
        <v/>
      </c>
      <c r="K26" s="49" t="str">
        <f t="shared" si="2"/>
        <v/>
      </c>
      <c r="L26" s="49" t="str">
        <f t="shared" si="8"/>
        <v/>
      </c>
      <c r="M26" s="49" t="str">
        <f t="shared" si="3"/>
        <v/>
      </c>
      <c r="N26" s="49" t="str">
        <f t="shared" si="4"/>
        <v/>
      </c>
      <c r="O26" s="49" t="str">
        <f t="shared" si="9"/>
        <v/>
      </c>
      <c r="P26" s="49" t="str">
        <f t="shared" si="5"/>
        <v/>
      </c>
      <c r="Q26" s="49" t="str">
        <f t="shared" si="6"/>
        <v/>
      </c>
      <c r="R26" s="48" t="str">
        <f t="shared" si="7"/>
        <v/>
      </c>
    </row>
    <row r="27" spans="1:18" x14ac:dyDescent="0.25">
      <c r="A27"/>
      <c r="B27" s="58" t="str">
        <f>Computations!D27</f>
        <v/>
      </c>
      <c r="C27" s="167" t="str">
        <f>IF(Input!G30&lt;&gt;0,ROUND(Input!G30,3),"")</f>
        <v/>
      </c>
      <c r="D27" s="93" t="str">
        <f>Computations!F27</f>
        <v/>
      </c>
      <c r="E27" s="49" t="str">
        <f>Computations!E107</f>
        <v/>
      </c>
      <c r="F27" s="49" t="str">
        <f>Computations!F200</f>
        <v/>
      </c>
      <c r="G27" s="49" t="str">
        <f>Computations!E294</f>
        <v/>
      </c>
      <c r="H27" s="49" t="str">
        <f>IF(upper.limit,Computations!F394,Computations!F493)</f>
        <v/>
      </c>
      <c r="I27" s="49" t="str">
        <f t="shared" si="0"/>
        <v/>
      </c>
      <c r="J27" s="49" t="str">
        <f t="shared" si="1"/>
        <v/>
      </c>
      <c r="K27" s="49" t="str">
        <f t="shared" si="2"/>
        <v/>
      </c>
      <c r="L27" s="49" t="str">
        <f t="shared" si="8"/>
        <v/>
      </c>
      <c r="M27" s="49" t="str">
        <f t="shared" si="3"/>
        <v/>
      </c>
      <c r="N27" s="49" t="str">
        <f t="shared" si="4"/>
        <v/>
      </c>
      <c r="O27" s="49" t="str">
        <f t="shared" si="9"/>
        <v/>
      </c>
      <c r="P27" s="49" t="str">
        <f t="shared" si="5"/>
        <v/>
      </c>
      <c r="Q27" s="49" t="str">
        <f t="shared" si="6"/>
        <v/>
      </c>
      <c r="R27" s="48" t="str">
        <f t="shared" si="7"/>
        <v/>
      </c>
    </row>
    <row r="28" spans="1:18" x14ac:dyDescent="0.25">
      <c r="A28"/>
      <c r="B28" s="58" t="str">
        <f>Computations!D28</f>
        <v/>
      </c>
      <c r="C28" s="167" t="str">
        <f>IF(Input!G31&lt;&gt;0,ROUND(Input!G31,3),"")</f>
        <v/>
      </c>
      <c r="D28" s="93" t="str">
        <f>Computations!F28</f>
        <v/>
      </c>
      <c r="E28" s="49" t="str">
        <f>Computations!E108</f>
        <v/>
      </c>
      <c r="F28" s="49" t="str">
        <f>Computations!F201</f>
        <v/>
      </c>
      <c r="G28" s="49" t="str">
        <f>Computations!E295</f>
        <v/>
      </c>
      <c r="H28" s="49" t="str">
        <f>IF(upper.limit,Computations!F395,Computations!F494)</f>
        <v/>
      </c>
      <c r="I28" s="49" t="str">
        <f t="shared" si="0"/>
        <v/>
      </c>
      <c r="J28" s="49" t="str">
        <f t="shared" si="1"/>
        <v/>
      </c>
      <c r="K28" s="49" t="str">
        <f t="shared" si="2"/>
        <v/>
      </c>
      <c r="L28" s="49" t="str">
        <f t="shared" si="8"/>
        <v/>
      </c>
      <c r="M28" s="49" t="str">
        <f t="shared" si="3"/>
        <v/>
      </c>
      <c r="N28" s="49" t="str">
        <f t="shared" si="4"/>
        <v/>
      </c>
      <c r="O28" s="49" t="str">
        <f t="shared" si="9"/>
        <v/>
      </c>
      <c r="P28" s="49" t="str">
        <f t="shared" si="5"/>
        <v/>
      </c>
      <c r="Q28" s="49" t="str">
        <f t="shared" si="6"/>
        <v/>
      </c>
      <c r="R28" s="48" t="str">
        <f t="shared" si="7"/>
        <v/>
      </c>
    </row>
    <row r="29" spans="1:18" x14ac:dyDescent="0.25">
      <c r="A29"/>
      <c r="B29" s="58" t="str">
        <f>Computations!D29</f>
        <v/>
      </c>
      <c r="C29" s="167" t="str">
        <f>IF(Input!G32&lt;&gt;0,ROUND(Input!G32,3),"")</f>
        <v/>
      </c>
      <c r="D29" s="93" t="str">
        <f>Computations!F29</f>
        <v/>
      </c>
      <c r="E29" s="49" t="str">
        <f>Computations!E109</f>
        <v/>
      </c>
      <c r="F29" s="49" t="str">
        <f>Computations!F202</f>
        <v/>
      </c>
      <c r="G29" s="49" t="str">
        <f>Computations!E296</f>
        <v/>
      </c>
      <c r="H29" s="49" t="str">
        <f>IF(upper.limit,Computations!F396,Computations!F495)</f>
        <v/>
      </c>
      <c r="I29" s="49" t="str">
        <f t="shared" si="0"/>
        <v/>
      </c>
      <c r="J29" s="49" t="str">
        <f t="shared" si="1"/>
        <v/>
      </c>
      <c r="K29" s="49" t="str">
        <f t="shared" si="2"/>
        <v/>
      </c>
      <c r="L29" s="49" t="str">
        <f t="shared" si="8"/>
        <v/>
      </c>
      <c r="M29" s="49" t="str">
        <f t="shared" si="3"/>
        <v/>
      </c>
      <c r="N29" s="49" t="str">
        <f t="shared" si="4"/>
        <v/>
      </c>
      <c r="O29" s="49" t="str">
        <f t="shared" si="9"/>
        <v/>
      </c>
      <c r="P29" s="49" t="str">
        <f t="shared" si="5"/>
        <v/>
      </c>
      <c r="Q29" s="49" t="str">
        <f t="shared" si="6"/>
        <v/>
      </c>
      <c r="R29" s="48" t="str">
        <f t="shared" si="7"/>
        <v/>
      </c>
    </row>
    <row r="30" spans="1:18" x14ac:dyDescent="0.25">
      <c r="A30"/>
      <c r="B30" s="58" t="str">
        <f>Computations!D30</f>
        <v/>
      </c>
      <c r="C30" s="167" t="str">
        <f>IF(Input!G33&lt;&gt;0,ROUND(Input!G33,3),"")</f>
        <v/>
      </c>
      <c r="D30" s="93" t="str">
        <f>Computations!F30</f>
        <v/>
      </c>
      <c r="E30" s="49" t="str">
        <f>Computations!E110</f>
        <v/>
      </c>
      <c r="F30" s="49" t="str">
        <f>Computations!F203</f>
        <v/>
      </c>
      <c r="G30" s="49" t="str">
        <f>Computations!E297</f>
        <v/>
      </c>
      <c r="H30" s="49" t="str">
        <f>IF(upper.limit,Computations!F397,Computations!F496)</f>
        <v/>
      </c>
      <c r="I30" s="169" t="str">
        <f t="shared" si="0"/>
        <v/>
      </c>
      <c r="J30" s="169" t="str">
        <f t="shared" si="1"/>
        <v/>
      </c>
      <c r="K30" s="169" t="str">
        <f t="shared" si="2"/>
        <v/>
      </c>
      <c r="L30" s="169" t="str">
        <f t="shared" si="8"/>
        <v/>
      </c>
      <c r="M30" s="169" t="str">
        <f t="shared" si="3"/>
        <v/>
      </c>
      <c r="N30" s="169" t="str">
        <f t="shared" si="4"/>
        <v/>
      </c>
      <c r="O30" s="169" t="str">
        <f t="shared" si="9"/>
        <v/>
      </c>
      <c r="P30" s="169" t="str">
        <f t="shared" si="5"/>
        <v/>
      </c>
      <c r="Q30" s="169" t="str">
        <f t="shared" si="6"/>
        <v/>
      </c>
      <c r="R30" s="170" t="str">
        <f t="shared" si="7"/>
        <v/>
      </c>
    </row>
    <row r="31" spans="1:18" x14ac:dyDescent="0.25">
      <c r="A31"/>
      <c r="B31" s="171" t="s">
        <v>97</v>
      </c>
      <c r="C31" s="100"/>
      <c r="D31" s="172"/>
      <c r="E31" s="173">
        <f>Computations!E534</f>
        <v>3.3333333332545106E-4</v>
      </c>
      <c r="F31" s="173">
        <f>Computations!J534</f>
        <v>-0.37699999999999062</v>
      </c>
      <c r="G31" s="173">
        <f>Computations!O534</f>
        <v>0</v>
      </c>
      <c r="H31" s="173">
        <f>Computations!T534</f>
        <v>0.41599999999997789</v>
      </c>
      <c r="I31" s="115">
        <f>Computations!Y534</f>
        <v>1.0333333333316356E-2</v>
      </c>
      <c r="J31" s="173">
        <f>Computations!AD534</f>
        <v>-0.12533333333332544</v>
      </c>
      <c r="K31" s="173">
        <f>Computations!AI534</f>
        <v>0.13866666666668456</v>
      </c>
      <c r="L31" s="173">
        <f>Computations!AN534</f>
        <v>1.2999999999995756E-2</v>
      </c>
      <c r="M31" s="173">
        <f>Computations!AS534</f>
        <v>-0.18833333333331362</v>
      </c>
      <c r="N31" s="173">
        <f>Computations!AX534</f>
        <v>6.6666666665090213E-4</v>
      </c>
      <c r="O31" s="173">
        <f>Computations!BC534</f>
        <v>0.20866666666669667</v>
      </c>
      <c r="P31" s="173">
        <f>Computations!BH534</f>
        <v>-0.18800000000002606</v>
      </c>
      <c r="Q31" s="173">
        <f>Computations!BM534</f>
        <v>1.9999999999943913E-2</v>
      </c>
      <c r="R31" s="174">
        <f>Computations!BR534</f>
        <v>0.20799999999996999</v>
      </c>
    </row>
    <row r="32" spans="1:18" x14ac:dyDescent="0.25">
      <c r="A32"/>
      <c r="B32" s="175" t="s">
        <v>98</v>
      </c>
      <c r="C32" s="48"/>
      <c r="D32" s="136"/>
      <c r="E32" s="115">
        <f>Computations!F535</f>
        <v>20.888999999999971</v>
      </c>
      <c r="F32" s="115">
        <f>Computations!K535</f>
        <v>22.737000000000041</v>
      </c>
      <c r="G32" s="115">
        <f>Computations!P535</f>
        <v>0</v>
      </c>
      <c r="H32" s="115">
        <f>Computations!U535</f>
        <v>18.51066666666668</v>
      </c>
      <c r="I32" s="115">
        <f>Computations!Z535</f>
        <v>15.534333333333356</v>
      </c>
      <c r="J32" s="115">
        <f>Computations!AE535</f>
        <v>14.541999999999993</v>
      </c>
      <c r="K32" s="115">
        <f>Computations!AJ535</f>
        <v>13.133333333333326</v>
      </c>
      <c r="L32" s="115">
        <f>Computations!AO535</f>
        <v>13.749000000000024</v>
      </c>
      <c r="M32" s="115">
        <f>Computations!AT535</f>
        <v>21.812999999999988</v>
      </c>
      <c r="N32" s="115">
        <f>Computations!AY535</f>
        <v>10.444666666666686</v>
      </c>
      <c r="O32" s="115">
        <f>Computations!BD535</f>
        <v>19.700000000000006</v>
      </c>
      <c r="P32" s="115">
        <f>Computations!BI535</f>
        <v>11.368666666666664</v>
      </c>
      <c r="Q32" s="115">
        <f>Computations!BN535</f>
        <v>20.623999999999985</v>
      </c>
      <c r="R32" s="129">
        <f>Computations!BS535</f>
        <v>9.2553333333333203</v>
      </c>
    </row>
    <row r="33" spans="1:18" x14ac:dyDescent="0.25">
      <c r="A33"/>
      <c r="B33" s="176" t="s">
        <v>120</v>
      </c>
      <c r="C33" s="177"/>
      <c r="D33" s="178"/>
      <c r="E33" s="115">
        <f>Computations!G536</f>
        <v>0.14300992271238902</v>
      </c>
      <c r="F33" s="115">
        <f>Computations!L536</f>
        <v>7.0894693019419933E-2</v>
      </c>
      <c r="G33" s="115">
        <f>Computations!Q536</f>
        <v>0</v>
      </c>
      <c r="H33" s="115">
        <f>Computations!V536</f>
        <v>0.22047998148165529</v>
      </c>
      <c r="I33" s="115">
        <f>Computations!AA536</f>
        <v>0.10867580205117533</v>
      </c>
      <c r="J33" s="115">
        <f>Computations!AF536</f>
        <v>7.1338581407086599E-2</v>
      </c>
      <c r="K33" s="115">
        <f>Computations!AK536</f>
        <v>0.12114231757026188</v>
      </c>
      <c r="L33" s="115">
        <f>Computations!AP536</f>
        <v>9.7121222135467658E-2</v>
      </c>
      <c r="M33" s="115">
        <f>Computations!AU536</f>
        <v>0.10695230786590744</v>
      </c>
      <c r="N33" s="115">
        <f>Computations!AZ536</f>
        <v>7.1584614104004338E-2</v>
      </c>
      <c r="O33" s="115">
        <f>Computations!BE536</f>
        <v>0.18182460484484034</v>
      </c>
      <c r="P33" s="115">
        <f>Computations!BJ536</f>
        <v>3.5526999257515936E-2</v>
      </c>
      <c r="Q33" s="115">
        <f>Computations!BO536</f>
        <v>0.14576698999834084</v>
      </c>
      <c r="R33" s="129">
        <f>Computations!BT536</f>
        <v>0.11023999074082495</v>
      </c>
    </row>
    <row r="34" spans="1:18" ht="15.75" thickBot="1" x14ac:dyDescent="0.3">
      <c r="A34"/>
      <c r="B34" s="179" t="s">
        <v>49</v>
      </c>
      <c r="C34" s="94"/>
      <c r="D34" s="180"/>
      <c r="E34" s="119">
        <f>Computations!H537</f>
        <v>3.2800822521885813</v>
      </c>
      <c r="F34" s="119">
        <f>Computations!M537</f>
        <v>3.5421689002536243</v>
      </c>
      <c r="G34" s="119">
        <f>Computations!R537</f>
        <v>0</v>
      </c>
      <c r="H34" s="119">
        <f>Computations!W537</f>
        <v>2.9379477364570188</v>
      </c>
      <c r="I34" s="119">
        <f>Computations!AB537</f>
        <v>2.440079314775232</v>
      </c>
      <c r="J34" s="119">
        <f>Computations!AG537</f>
        <v>2.2740873868456242</v>
      </c>
      <c r="K34" s="119">
        <f>Computations!AL537</f>
        <v>2.0726890525190336</v>
      </c>
      <c r="L34" s="119">
        <f>Computations!AQ537</f>
        <v>2.1600018360737328</v>
      </c>
      <c r="M34" s="119">
        <f>Computations!AV537</f>
        <v>3.4111255762210995</v>
      </c>
      <c r="N34" s="119">
        <f>Computations!BA537</f>
        <v>1.6400707186447201</v>
      </c>
      <c r="O34" s="119">
        <f>Computations!BF537</f>
        <v>3.1090445868732264</v>
      </c>
      <c r="P34" s="119">
        <f>Computations!BK537</f>
        <v>1.771114042677232</v>
      </c>
      <c r="Q34" s="119">
        <f>Computations!BP537</f>
        <v>3.2400879109057379</v>
      </c>
      <c r="R34" s="120">
        <f>Computations!BU537</f>
        <v>1.4689738682285067</v>
      </c>
    </row>
  </sheetData>
  <sheetProtection password="DF21" sheet="1" formatCells="0" formatColumns="0" formatRows="0"/>
  <pageMargins left="0.7" right="0.7" top="0.75" bottom="0.75" header="0.3" footer="0.3"/>
  <pageSetup scale="71"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Linear">
                <anchor moveWithCells="1">
                  <from>
                    <xdr:col>10</xdr:col>
                    <xdr:colOff>371475</xdr:colOff>
                    <xdr:row>55</xdr:row>
                    <xdr:rowOff>142875</xdr:rowOff>
                  </from>
                  <to>
                    <xdr:col>11</xdr:col>
                    <xdr:colOff>542925</xdr:colOff>
                    <xdr:row>56</xdr:row>
                    <xdr:rowOff>161925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11</xdr:col>
                    <xdr:colOff>314325</xdr:colOff>
                    <xdr:row>55</xdr:row>
                    <xdr:rowOff>161925</xdr:rowOff>
                  </from>
                  <to>
                    <xdr:col>12</xdr:col>
                    <xdr:colOff>381000</xdr:colOff>
                    <xdr:row>56</xdr:row>
                    <xdr:rowOff>180975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12</xdr:col>
                    <xdr:colOff>352425</xdr:colOff>
                    <xdr:row>55</xdr:row>
                    <xdr:rowOff>152400</xdr:rowOff>
                  </from>
                  <to>
                    <xdr:col>13</xdr:col>
                    <xdr:colOff>523875</xdr:colOff>
                    <xdr:row>56</xdr:row>
                    <xdr:rowOff>171450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13</xdr:col>
                    <xdr:colOff>390525</xdr:colOff>
                    <xdr:row>55</xdr:row>
                    <xdr:rowOff>180975</xdr:rowOff>
                  </from>
                  <to>
                    <xdr:col>14</xdr:col>
                    <xdr:colOff>561975</xdr:colOff>
                    <xdr:row>57</xdr:row>
                    <xdr:rowOff>9525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14</xdr:col>
                    <xdr:colOff>533400</xdr:colOff>
                    <xdr:row>55</xdr:row>
                    <xdr:rowOff>171450</xdr:rowOff>
                  </from>
                  <to>
                    <xdr:col>15</xdr:col>
                    <xdr:colOff>457200</xdr:colOff>
                    <xdr:row>57</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27</vt:i4>
      </vt:variant>
    </vt:vector>
  </HeadingPairs>
  <TitlesOfParts>
    <vt:vector size="31" baseType="lpstr">
      <vt:lpstr>Documentation</vt:lpstr>
      <vt:lpstr>Input</vt:lpstr>
      <vt:lpstr>Computations</vt:lpstr>
      <vt:lpstr>Output</vt:lpstr>
      <vt:lpstr>area</vt:lpstr>
      <vt:lpstr>base.year</vt:lpstr>
      <vt:lpstr>first.year</vt:lpstr>
      <vt:lpstr>geometric.estimates</vt:lpstr>
      <vt:lpstr>geometric.paramters</vt:lpstr>
      <vt:lpstr>gompertz.lower.limit</vt:lpstr>
      <vt:lpstr>gompertz.upper.limit</vt:lpstr>
      <vt:lpstr>index</vt:lpstr>
      <vt:lpstr>input.data</vt:lpstr>
      <vt:lpstr>interval.obs</vt:lpstr>
      <vt:lpstr>Label</vt:lpstr>
      <vt:lpstr>last.year</vt:lpstr>
      <vt:lpstr>launch.year</vt:lpstr>
      <vt:lpstr>limit</vt:lpstr>
      <vt:lpstr>linear.estimates</vt:lpstr>
      <vt:lpstr>linear.parameters</vt:lpstr>
      <vt:lpstr>mape.maple.computations</vt:lpstr>
      <vt:lpstr>N</vt:lpstr>
      <vt:lpstr>N.odd</vt:lpstr>
      <vt:lpstr>parabobolic.paramters</vt:lpstr>
      <vt:lpstr>parabolic.estimates</vt:lpstr>
      <vt:lpstr>Sum.X2</vt:lpstr>
      <vt:lpstr>target.year</vt:lpstr>
      <vt:lpstr>units</vt:lpstr>
      <vt:lpstr>upper.limit</vt:lpstr>
      <vt:lpstr>variable</vt:lpstr>
      <vt:lpstr>Y.fit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2018-09-26T19:33:33Z</dcterms:created>
  <dcterms:modified xsi:type="dcterms:W3CDTF">2019-05-09T18:16:17Z</dcterms:modified>
</cp:coreProperties>
</file>