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D:\Textbook\Tools\Cohort\"/>
    </mc:Choice>
  </mc:AlternateContent>
  <xr:revisionPtr revIDLastSave="0" documentId="13_ncr:1_{9787920C-2D76-4742-A644-2541F2631D2B}" xr6:coauthVersionLast="43" xr6:coauthVersionMax="43" xr10:uidLastSave="{00000000-0000-0000-0000-000000000000}"/>
  <bookViews>
    <workbookView xWindow="0" yWindow="0" windowWidth="28800" windowHeight="15600" tabRatio="594" xr2:uid="{76FAC5B8-A9F4-42DB-9F8B-9B502ADC4CDA}"/>
  </bookViews>
  <sheets>
    <sheet name="Documentation" sheetId="1" r:id="rId1"/>
    <sheet name="Input" sheetId="2" r:id="rId2"/>
    <sheet name="Computations" sheetId="3" r:id="rId3"/>
    <sheet name="Output" sheetId="4" r:id="rId4"/>
  </sheets>
  <externalReferences>
    <externalReference r:id="rId5"/>
  </externalReferences>
  <definedNames>
    <definedName name="adjust">[1]Computations!$K$11</definedName>
    <definedName name="base.year">Input!#REF!</definedName>
    <definedName name="label">Input!$C$4</definedName>
    <definedName name="launch.year">Input!$C$10</definedName>
    <definedName name="one.analysis">[1]Computations!$K$18</definedName>
    <definedName name="one.refer">[1]Computations!$K$19</definedName>
    <definedName name="population">Input!$C$9</definedName>
    <definedName name="refer.area">Input!#REF!</definedName>
    <definedName name="refer.label">Input!#REF!</definedName>
    <definedName name="study.area">Input!$C$8</definedName>
    <definedName name="study.label">Input!#REF!</definedName>
    <definedName name="summary.table">Computations!$C$417</definedName>
    <definedName name="target">[1]Computations!$K$22</definedName>
    <definedName name="target.10">Computations!$L$6</definedName>
    <definedName name="target.15">Computations!$L$7</definedName>
    <definedName name="target.20">Computations!$L$8</definedName>
    <definedName name="target.25">Computations!$L$9</definedName>
    <definedName name="target.30">Computations!$L$10</definedName>
    <definedName name="target.40">Computations!#REF!</definedName>
    <definedName name="target.5">Computations!$L$5</definedName>
    <definedName name="target.50">Computations!#REF!</definedName>
    <definedName name="target.year">Input!$C$11</definedName>
    <definedName name="variable">Input!#REF!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6" i="2" l="1"/>
  <c r="L146" i="3"/>
  <c r="C4" i="2" l="1"/>
  <c r="J4" i="4"/>
  <c r="D4" i="4"/>
  <c r="B2" i="4" l="1"/>
  <c r="T465" i="3" l="1"/>
  <c r="P465" i="3"/>
  <c r="T464" i="3"/>
  <c r="P464" i="3"/>
  <c r="T463" i="3"/>
  <c r="P463" i="3"/>
  <c r="T462" i="3"/>
  <c r="P462" i="3"/>
  <c r="T461" i="3"/>
  <c r="P461" i="3"/>
  <c r="T460" i="3"/>
  <c r="P460" i="3"/>
  <c r="T459" i="3"/>
  <c r="P459" i="3"/>
  <c r="T458" i="3"/>
  <c r="P458" i="3"/>
  <c r="T457" i="3"/>
  <c r="P457" i="3"/>
  <c r="T456" i="3"/>
  <c r="P456" i="3"/>
  <c r="T455" i="3"/>
  <c r="P455" i="3"/>
  <c r="T454" i="3"/>
  <c r="P454" i="3"/>
  <c r="T453" i="3"/>
  <c r="P453" i="3"/>
  <c r="T452" i="3"/>
  <c r="P452" i="3"/>
  <c r="T451" i="3"/>
  <c r="P451" i="3"/>
  <c r="T450" i="3"/>
  <c r="P450" i="3"/>
  <c r="T449" i="3"/>
  <c r="P449" i="3"/>
  <c r="T448" i="3"/>
  <c r="P448" i="3"/>
  <c r="T445" i="3"/>
  <c r="P445" i="3"/>
  <c r="K445" i="3"/>
  <c r="E445" i="3"/>
  <c r="L9" i="3" l="1"/>
  <c r="L7" i="3"/>
  <c r="L5" i="3"/>
  <c r="C417" i="3"/>
  <c r="F439" i="3"/>
  <c r="F465" i="3" s="1"/>
  <c r="E439" i="3"/>
  <c r="E465" i="3" s="1"/>
  <c r="F438" i="3"/>
  <c r="F464" i="3" s="1"/>
  <c r="E438" i="3"/>
  <c r="E464" i="3" s="1"/>
  <c r="F437" i="3"/>
  <c r="F463" i="3" s="1"/>
  <c r="E437" i="3"/>
  <c r="E463" i="3" s="1"/>
  <c r="F436" i="3"/>
  <c r="F462" i="3" s="1"/>
  <c r="E436" i="3"/>
  <c r="E462" i="3" s="1"/>
  <c r="F435" i="3"/>
  <c r="F461" i="3" s="1"/>
  <c r="E435" i="3"/>
  <c r="E461" i="3" s="1"/>
  <c r="F434" i="3"/>
  <c r="F460" i="3" s="1"/>
  <c r="E434" i="3"/>
  <c r="E460" i="3" s="1"/>
  <c r="F433" i="3"/>
  <c r="F459" i="3" s="1"/>
  <c r="E433" i="3"/>
  <c r="E459" i="3" s="1"/>
  <c r="F432" i="3"/>
  <c r="F458" i="3" s="1"/>
  <c r="E432" i="3"/>
  <c r="E458" i="3" s="1"/>
  <c r="F431" i="3"/>
  <c r="F457" i="3" s="1"/>
  <c r="E431" i="3"/>
  <c r="E457" i="3" s="1"/>
  <c r="F430" i="3"/>
  <c r="F456" i="3" s="1"/>
  <c r="E430" i="3"/>
  <c r="E456" i="3" s="1"/>
  <c r="F429" i="3"/>
  <c r="F455" i="3" s="1"/>
  <c r="E429" i="3"/>
  <c r="E455" i="3" s="1"/>
  <c r="F428" i="3"/>
  <c r="F454" i="3" s="1"/>
  <c r="E428" i="3"/>
  <c r="E454" i="3" s="1"/>
  <c r="F427" i="3"/>
  <c r="F453" i="3" s="1"/>
  <c r="E427" i="3"/>
  <c r="E453" i="3" s="1"/>
  <c r="F426" i="3"/>
  <c r="F452" i="3" s="1"/>
  <c r="E426" i="3"/>
  <c r="E452" i="3" s="1"/>
  <c r="F425" i="3"/>
  <c r="F451" i="3" s="1"/>
  <c r="E425" i="3"/>
  <c r="E451" i="3" s="1"/>
  <c r="F424" i="3"/>
  <c r="F450" i="3" s="1"/>
  <c r="E424" i="3"/>
  <c r="E450" i="3" s="1"/>
  <c r="F423" i="3"/>
  <c r="F449" i="3" s="1"/>
  <c r="E423" i="3"/>
  <c r="E449" i="3" s="1"/>
  <c r="F422" i="3"/>
  <c r="F448" i="3" s="1"/>
  <c r="E422" i="3"/>
  <c r="E448" i="3" s="1"/>
  <c r="E419" i="3"/>
  <c r="G419" i="3" s="1"/>
  <c r="I419" i="3" s="1"/>
  <c r="K419" i="3" s="1"/>
  <c r="M419" i="3" s="1"/>
  <c r="O419" i="3" s="1"/>
  <c r="Q419" i="3" s="1"/>
  <c r="E14" i="4" l="1"/>
  <c r="R455" i="3"/>
  <c r="E18" i="4"/>
  <c r="R459" i="3"/>
  <c r="E22" i="4"/>
  <c r="R463" i="3"/>
  <c r="D7" i="4"/>
  <c r="G448" i="3"/>
  <c r="Q448" i="3"/>
  <c r="D15" i="4"/>
  <c r="G456" i="3"/>
  <c r="F15" i="4" s="1"/>
  <c r="Q456" i="3"/>
  <c r="D23" i="4"/>
  <c r="G464" i="3"/>
  <c r="F23" i="4" s="1"/>
  <c r="Q464" i="3"/>
  <c r="E7" i="4"/>
  <c r="F466" i="3"/>
  <c r="E25" i="4" s="1"/>
  <c r="R448" i="3"/>
  <c r="E11" i="4"/>
  <c r="R452" i="3"/>
  <c r="E15" i="4"/>
  <c r="R456" i="3"/>
  <c r="E19" i="4"/>
  <c r="R460" i="3"/>
  <c r="E23" i="4"/>
  <c r="R464" i="3"/>
  <c r="D11" i="4"/>
  <c r="Q452" i="3"/>
  <c r="G452" i="3"/>
  <c r="F11" i="4" s="1"/>
  <c r="D19" i="4"/>
  <c r="Q460" i="3"/>
  <c r="G460" i="3"/>
  <c r="F19" i="4" s="1"/>
  <c r="D16" i="4"/>
  <c r="Q457" i="3"/>
  <c r="G457" i="3"/>
  <c r="F16" i="4" s="1"/>
  <c r="D8" i="4"/>
  <c r="Q449" i="3"/>
  <c r="G449" i="3"/>
  <c r="F8" i="4" s="1"/>
  <c r="D12" i="4"/>
  <c r="Q453" i="3"/>
  <c r="G453" i="3"/>
  <c r="F12" i="4" s="1"/>
  <c r="D20" i="4"/>
  <c r="Q461" i="3"/>
  <c r="G461" i="3"/>
  <c r="F20" i="4" s="1"/>
  <c r="D24" i="4"/>
  <c r="Q465" i="3"/>
  <c r="G465" i="3"/>
  <c r="F24" i="4" s="1"/>
  <c r="E9" i="4"/>
  <c r="R450" i="3"/>
  <c r="E13" i="4"/>
  <c r="R454" i="3"/>
  <c r="E17" i="4"/>
  <c r="R458" i="3"/>
  <c r="E21" i="4"/>
  <c r="R462" i="3"/>
  <c r="E10" i="4"/>
  <c r="R451" i="3"/>
  <c r="E8" i="4"/>
  <c r="R449" i="3"/>
  <c r="E12" i="4"/>
  <c r="R453" i="3"/>
  <c r="E16" i="4"/>
  <c r="R457" i="3"/>
  <c r="E20" i="4"/>
  <c r="R461" i="3"/>
  <c r="E24" i="4"/>
  <c r="R465" i="3"/>
  <c r="D9" i="4"/>
  <c r="G450" i="3"/>
  <c r="F9" i="4" s="1"/>
  <c r="Q450" i="3"/>
  <c r="D13" i="4"/>
  <c r="G454" i="3"/>
  <c r="F13" i="4" s="1"/>
  <c r="Q454" i="3"/>
  <c r="D17" i="4"/>
  <c r="Q458" i="3"/>
  <c r="G458" i="3"/>
  <c r="F17" i="4" s="1"/>
  <c r="D21" i="4"/>
  <c r="G462" i="3"/>
  <c r="F21" i="4" s="1"/>
  <c r="Q462" i="3"/>
  <c r="D10" i="4"/>
  <c r="Q451" i="3"/>
  <c r="G451" i="3"/>
  <c r="F10" i="4" s="1"/>
  <c r="D14" i="4"/>
  <c r="Q455" i="3"/>
  <c r="G455" i="3"/>
  <c r="F14" i="4" s="1"/>
  <c r="D18" i="4"/>
  <c r="Q459" i="3"/>
  <c r="G459" i="3"/>
  <c r="F18" i="4" s="1"/>
  <c r="D22" i="4"/>
  <c r="Q463" i="3"/>
  <c r="G463" i="3"/>
  <c r="F22" i="4" s="1"/>
  <c r="E466" i="3"/>
  <c r="D25" i="4" s="1"/>
  <c r="F440" i="3"/>
  <c r="E440" i="3"/>
  <c r="BW369" i="3"/>
  <c r="BW370" i="3"/>
  <c r="BW371" i="3"/>
  <c r="BW372" i="3"/>
  <c r="BW373" i="3"/>
  <c r="BW374" i="3"/>
  <c r="BW375" i="3"/>
  <c r="BW376" i="3"/>
  <c r="CD383" i="3"/>
  <c r="CD382" i="3"/>
  <c r="CD381" i="3"/>
  <c r="CD380" i="3"/>
  <c r="CD379" i="3"/>
  <c r="CD378" i="3"/>
  <c r="CD377" i="3"/>
  <c r="CD376" i="3"/>
  <c r="CD375" i="3"/>
  <c r="CD374" i="3"/>
  <c r="CD373" i="3"/>
  <c r="CD372" i="3"/>
  <c r="CD371" i="3"/>
  <c r="CD370" i="3"/>
  <c r="CD369" i="3"/>
  <c r="CD368" i="3"/>
  <c r="CD367" i="3"/>
  <c r="CD366" i="3"/>
  <c r="CE364" i="3"/>
  <c r="CD364" i="3"/>
  <c r="BY364" i="3"/>
  <c r="BX364" i="3"/>
  <c r="BV364" i="3"/>
  <c r="BU364" i="3"/>
  <c r="BT364" i="3"/>
  <c r="BS364" i="3"/>
  <c r="BR364" i="3"/>
  <c r="BQ364" i="3"/>
  <c r="BL364" i="3"/>
  <c r="BK364" i="3"/>
  <c r="BI364" i="3"/>
  <c r="BH364" i="3"/>
  <c r="BG364" i="3"/>
  <c r="BF364" i="3"/>
  <c r="BE364" i="3"/>
  <c r="BD364" i="3"/>
  <c r="AY364" i="3"/>
  <c r="AX364" i="3"/>
  <c r="AV364" i="3"/>
  <c r="AU364" i="3"/>
  <c r="AT364" i="3"/>
  <c r="AS364" i="3"/>
  <c r="AR364" i="3"/>
  <c r="AQ364" i="3"/>
  <c r="AL364" i="3"/>
  <c r="AK364" i="3"/>
  <c r="AI364" i="3"/>
  <c r="AH364" i="3"/>
  <c r="AG364" i="3"/>
  <c r="AF364" i="3"/>
  <c r="AE364" i="3"/>
  <c r="AD364" i="3"/>
  <c r="BO361" i="3"/>
  <c r="BB361" i="3"/>
  <c r="AO361" i="3"/>
  <c r="AB361" i="3"/>
  <c r="O361" i="3"/>
  <c r="Y364" i="3"/>
  <c r="BT275" i="3"/>
  <c r="BG275" i="3"/>
  <c r="AT275" i="3"/>
  <c r="AG275" i="3"/>
  <c r="T275" i="3"/>
  <c r="F364" i="3"/>
  <c r="X364" i="3"/>
  <c r="V364" i="3"/>
  <c r="U364" i="3"/>
  <c r="T364" i="3"/>
  <c r="S364" i="3"/>
  <c r="R364" i="3"/>
  <c r="Q364" i="3"/>
  <c r="CC275" i="3"/>
  <c r="CB275" i="3"/>
  <c r="CB294" i="3"/>
  <c r="CB293" i="3"/>
  <c r="CB292" i="3"/>
  <c r="CB291" i="3"/>
  <c r="CB290" i="3"/>
  <c r="CB289" i="3"/>
  <c r="CB288" i="3"/>
  <c r="CB287" i="3"/>
  <c r="CB286" i="3"/>
  <c r="CB285" i="3"/>
  <c r="CB284" i="3"/>
  <c r="CB283" i="3"/>
  <c r="CB282" i="3"/>
  <c r="CB281" i="3"/>
  <c r="CB280" i="3"/>
  <c r="CB279" i="3"/>
  <c r="CB278" i="3"/>
  <c r="CB277" i="3"/>
  <c r="BW275" i="3"/>
  <c r="BV275" i="3"/>
  <c r="BS275" i="3"/>
  <c r="BR275" i="3"/>
  <c r="BQ275" i="3"/>
  <c r="BP275" i="3"/>
  <c r="BO275" i="3"/>
  <c r="BJ275" i="3"/>
  <c r="BI275" i="3"/>
  <c r="BF275" i="3"/>
  <c r="BE275" i="3"/>
  <c r="BD275" i="3"/>
  <c r="BC275" i="3"/>
  <c r="BB275" i="3"/>
  <c r="AW275" i="3"/>
  <c r="AV275" i="3"/>
  <c r="AS275" i="3"/>
  <c r="AR275" i="3"/>
  <c r="AQ275" i="3"/>
  <c r="AP275" i="3"/>
  <c r="AO275" i="3"/>
  <c r="AJ275" i="3"/>
  <c r="AI275" i="3"/>
  <c r="AF275" i="3"/>
  <c r="AE275" i="3"/>
  <c r="AD275" i="3"/>
  <c r="AC275" i="3"/>
  <c r="AB275" i="3"/>
  <c r="BM272" i="3"/>
  <c r="AZ272" i="3"/>
  <c r="AM272" i="3"/>
  <c r="Z272" i="3"/>
  <c r="G466" i="3" l="1"/>
  <c r="F25" i="4" s="1"/>
  <c r="F7" i="4"/>
  <c r="BQ350" i="3"/>
  <c r="BQ349" i="3"/>
  <c r="BQ348" i="3"/>
  <c r="BQ347" i="3"/>
  <c r="BQ346" i="3"/>
  <c r="BQ345" i="3"/>
  <c r="BQ344" i="3"/>
  <c r="BQ343" i="3"/>
  <c r="BQ342" i="3"/>
  <c r="BQ341" i="3"/>
  <c r="BQ340" i="3"/>
  <c r="BQ339" i="3"/>
  <c r="BQ338" i="3"/>
  <c r="BQ337" i="3"/>
  <c r="BQ336" i="3"/>
  <c r="BQ335" i="3"/>
  <c r="BQ334" i="3"/>
  <c r="BQ333" i="3"/>
  <c r="BD350" i="3"/>
  <c r="BD349" i="3"/>
  <c r="BD348" i="3"/>
  <c r="BD347" i="3"/>
  <c r="BD346" i="3"/>
  <c r="BD345" i="3"/>
  <c r="BD344" i="3"/>
  <c r="BD343" i="3"/>
  <c r="BD342" i="3"/>
  <c r="BD341" i="3"/>
  <c r="BD340" i="3"/>
  <c r="BD339" i="3"/>
  <c r="BD338" i="3"/>
  <c r="BD337" i="3"/>
  <c r="BD336" i="3"/>
  <c r="BD335" i="3"/>
  <c r="BD334" i="3"/>
  <c r="BD333" i="3"/>
  <c r="AQ350" i="3"/>
  <c r="AQ349" i="3"/>
  <c r="AQ348" i="3"/>
  <c r="AQ347" i="3"/>
  <c r="AQ346" i="3"/>
  <c r="AQ345" i="3"/>
  <c r="AQ344" i="3"/>
  <c r="AQ343" i="3"/>
  <c r="AQ342" i="3"/>
  <c r="AQ341" i="3"/>
  <c r="AQ340" i="3"/>
  <c r="AQ339" i="3"/>
  <c r="AQ338" i="3"/>
  <c r="AQ337" i="3"/>
  <c r="AQ336" i="3"/>
  <c r="AQ335" i="3"/>
  <c r="AQ334" i="3"/>
  <c r="AQ333" i="3"/>
  <c r="AD350" i="3"/>
  <c r="AD349" i="3"/>
  <c r="AD348" i="3"/>
  <c r="AD347" i="3"/>
  <c r="AD346" i="3"/>
  <c r="AD345" i="3"/>
  <c r="AD344" i="3"/>
  <c r="AD343" i="3"/>
  <c r="AD342" i="3"/>
  <c r="AD341" i="3"/>
  <c r="AD340" i="3"/>
  <c r="AD339" i="3"/>
  <c r="AD338" i="3"/>
  <c r="AD337" i="3"/>
  <c r="AD336" i="3"/>
  <c r="AD335" i="3"/>
  <c r="AD334" i="3"/>
  <c r="AD333" i="3"/>
  <c r="Q350" i="3"/>
  <c r="Q349" i="3"/>
  <c r="Q348" i="3"/>
  <c r="Q347" i="3"/>
  <c r="Q346" i="3"/>
  <c r="Q345" i="3"/>
  <c r="Q344" i="3"/>
  <c r="Q343" i="3"/>
  <c r="Q342" i="3"/>
  <c r="Q341" i="3"/>
  <c r="Q340" i="3"/>
  <c r="Q339" i="3"/>
  <c r="Q338" i="3"/>
  <c r="Q337" i="3"/>
  <c r="Q336" i="3"/>
  <c r="Q335" i="3"/>
  <c r="Q334" i="3"/>
  <c r="Q333" i="3"/>
  <c r="BS331" i="3"/>
  <c r="BR331" i="3"/>
  <c r="BQ331" i="3"/>
  <c r="BQ330" i="3"/>
  <c r="BF331" i="3"/>
  <c r="BE331" i="3"/>
  <c r="AS331" i="3"/>
  <c r="AR331" i="3"/>
  <c r="BD331" i="3"/>
  <c r="BD330" i="3"/>
  <c r="AQ331" i="3"/>
  <c r="AQ330" i="3"/>
  <c r="AF331" i="3"/>
  <c r="AE331" i="3"/>
  <c r="AD331" i="3"/>
  <c r="AD330" i="3"/>
  <c r="S331" i="3"/>
  <c r="R331" i="3"/>
  <c r="Q331" i="3"/>
  <c r="Q330" i="3"/>
  <c r="BO328" i="3"/>
  <c r="BB328" i="3"/>
  <c r="AO328" i="3"/>
  <c r="AB328" i="3"/>
  <c r="O328" i="3"/>
  <c r="BO261" i="3"/>
  <c r="BO260" i="3"/>
  <c r="BO259" i="3"/>
  <c r="BO258" i="3"/>
  <c r="BO257" i="3"/>
  <c r="BO256" i="3"/>
  <c r="BO255" i="3"/>
  <c r="BO254" i="3"/>
  <c r="BO253" i="3"/>
  <c r="BO252" i="3"/>
  <c r="BO251" i="3"/>
  <c r="BO250" i="3"/>
  <c r="BO249" i="3"/>
  <c r="BO248" i="3"/>
  <c r="BO247" i="3"/>
  <c r="BO246" i="3"/>
  <c r="BO245" i="3"/>
  <c r="BO244" i="3"/>
  <c r="BB261" i="3"/>
  <c r="BB260" i="3"/>
  <c r="BB259" i="3"/>
  <c r="BB258" i="3"/>
  <c r="BB257" i="3"/>
  <c r="BB256" i="3"/>
  <c r="BB255" i="3"/>
  <c r="BB254" i="3"/>
  <c r="BB253" i="3"/>
  <c r="BB252" i="3"/>
  <c r="BB251" i="3"/>
  <c r="BB250" i="3"/>
  <c r="BB249" i="3"/>
  <c r="BB248" i="3"/>
  <c r="BB247" i="3"/>
  <c r="BB246" i="3"/>
  <c r="BB245" i="3"/>
  <c r="BB244" i="3"/>
  <c r="AO261" i="3"/>
  <c r="AO260" i="3"/>
  <c r="AO259" i="3"/>
  <c r="AO258" i="3"/>
  <c r="AO257" i="3"/>
  <c r="AO256" i="3"/>
  <c r="AO255" i="3"/>
  <c r="AO254" i="3"/>
  <c r="AO253" i="3"/>
  <c r="AO252" i="3"/>
  <c r="AO251" i="3"/>
  <c r="AO250" i="3"/>
  <c r="AO249" i="3"/>
  <c r="AO248" i="3"/>
  <c r="AO247" i="3"/>
  <c r="AO246" i="3"/>
  <c r="AO245" i="3"/>
  <c r="AO244" i="3"/>
  <c r="AB261" i="3"/>
  <c r="AB260" i="3"/>
  <c r="AB259" i="3"/>
  <c r="AB258" i="3"/>
  <c r="AB257" i="3"/>
  <c r="AB256" i="3"/>
  <c r="AB255" i="3"/>
  <c r="AB254" i="3"/>
  <c r="AB253" i="3"/>
  <c r="AB252" i="3"/>
  <c r="AB251" i="3"/>
  <c r="AB250" i="3"/>
  <c r="AB249" i="3"/>
  <c r="AB248" i="3"/>
  <c r="AB247" i="3"/>
  <c r="AB246" i="3"/>
  <c r="AB245" i="3"/>
  <c r="AB244" i="3"/>
  <c r="O261" i="3"/>
  <c r="O260" i="3"/>
  <c r="O259" i="3"/>
  <c r="O258" i="3"/>
  <c r="O257" i="3"/>
  <c r="O256" i="3"/>
  <c r="O255" i="3"/>
  <c r="O254" i="3"/>
  <c r="O253" i="3"/>
  <c r="O252" i="3"/>
  <c r="O251" i="3"/>
  <c r="O250" i="3"/>
  <c r="O249" i="3"/>
  <c r="O248" i="3"/>
  <c r="O247" i="3"/>
  <c r="O246" i="3"/>
  <c r="O245" i="3"/>
  <c r="O244" i="3"/>
  <c r="BQ242" i="3"/>
  <c r="BP242" i="3"/>
  <c r="BO242" i="3"/>
  <c r="BO241" i="3"/>
  <c r="BD242" i="3"/>
  <c r="BC242" i="3"/>
  <c r="BB242" i="3"/>
  <c r="BB241" i="3"/>
  <c r="AQ242" i="3"/>
  <c r="AP242" i="3"/>
  <c r="AO242" i="3"/>
  <c r="AO241" i="3"/>
  <c r="AD242" i="3"/>
  <c r="AC242" i="3"/>
  <c r="AB242" i="3"/>
  <c r="AB241" i="3"/>
  <c r="BM239" i="3"/>
  <c r="AZ239" i="3"/>
  <c r="AM239" i="3"/>
  <c r="Z239" i="3"/>
  <c r="AI29" i="2" l="1"/>
  <c r="AO29" i="2"/>
  <c r="AN29" i="2"/>
  <c r="AM29" i="2"/>
  <c r="AL29" i="2"/>
  <c r="AK29" i="2"/>
  <c r="AJ29" i="2"/>
  <c r="AH29" i="2"/>
  <c r="AG29" i="2"/>
  <c r="AF29" i="2"/>
  <c r="AE29" i="2"/>
  <c r="AD29" i="2"/>
  <c r="AC29" i="2"/>
  <c r="W275" i="3"/>
  <c r="V275" i="3"/>
  <c r="S275" i="3"/>
  <c r="R275" i="3"/>
  <c r="Q275" i="3"/>
  <c r="P275" i="3"/>
  <c r="O275" i="3"/>
  <c r="M272" i="3"/>
  <c r="Q242" i="3"/>
  <c r="P242" i="3"/>
  <c r="O242" i="3"/>
  <c r="O241" i="3"/>
  <c r="M239" i="3"/>
  <c r="E350" i="3"/>
  <c r="E349" i="3"/>
  <c r="E348" i="3"/>
  <c r="E347" i="3"/>
  <c r="E346" i="3"/>
  <c r="E345" i="3"/>
  <c r="E344" i="3"/>
  <c r="E343" i="3"/>
  <c r="E342" i="3"/>
  <c r="E341" i="3"/>
  <c r="E340" i="3"/>
  <c r="E339" i="3"/>
  <c r="E338" i="3"/>
  <c r="E337" i="3"/>
  <c r="E336" i="3"/>
  <c r="E335" i="3"/>
  <c r="E334" i="3"/>
  <c r="E333" i="3"/>
  <c r="O277" i="3"/>
  <c r="E356" i="3"/>
  <c r="D356" i="3"/>
  <c r="G331" i="3"/>
  <c r="F331" i="3"/>
  <c r="E331" i="3"/>
  <c r="E330" i="3"/>
  <c r="C328" i="3"/>
  <c r="C361" i="3"/>
  <c r="E364" i="3"/>
  <c r="G364" i="3"/>
  <c r="E351" i="3" l="1"/>
  <c r="CD384" i="3" l="1"/>
  <c r="Q366" i="3"/>
  <c r="CB295" i="3"/>
  <c r="AJ372" i="3" l="1"/>
  <c r="W375" i="3"/>
  <c r="BU280" i="3"/>
  <c r="AW372" i="3"/>
  <c r="BJ372" i="3"/>
  <c r="BH280" i="3"/>
  <c r="BJ369" i="3"/>
  <c r="W373" i="3"/>
  <c r="AW376" i="3"/>
  <c r="U285" i="3"/>
  <c r="W374" i="3"/>
  <c r="W376" i="3"/>
  <c r="AW373" i="3"/>
  <c r="AU281" i="3"/>
  <c r="BJ371" i="3"/>
  <c r="U283" i="3"/>
  <c r="AU285" i="3"/>
  <c r="W370" i="3"/>
  <c r="BJ370" i="3"/>
  <c r="W372" i="3"/>
  <c r="BH283" i="3"/>
  <c r="AH284" i="3"/>
  <c r="BJ375" i="3"/>
  <c r="AU284" i="3"/>
  <c r="AH282" i="3"/>
  <c r="AH285" i="3"/>
  <c r="AW369" i="3"/>
  <c r="AW371" i="3"/>
  <c r="AW374" i="3"/>
  <c r="BU282" i="3"/>
  <c r="BH284" i="3"/>
  <c r="AU280" i="3"/>
  <c r="BH281" i="3"/>
  <c r="AJ374" i="3"/>
  <c r="AW375" i="3"/>
  <c r="BJ376" i="3"/>
  <c r="BJ373" i="3"/>
  <c r="BU281" i="3"/>
  <c r="AU282" i="3"/>
  <c r="AJ370" i="3"/>
  <c r="AJ373" i="3"/>
  <c r="AH280" i="3"/>
  <c r="U282" i="3"/>
  <c r="W369" i="3"/>
  <c r="O262" i="3"/>
  <c r="AH283" i="3"/>
  <c r="AJ375" i="3"/>
  <c r="BU283" i="3"/>
  <c r="AJ369" i="3"/>
  <c r="AH281" i="3"/>
  <c r="AU283" i="3"/>
  <c r="U286" i="3"/>
  <c r="BH286" i="3"/>
  <c r="BU287" i="3"/>
  <c r="AJ376" i="3"/>
  <c r="BB262" i="3"/>
  <c r="AH286" i="3"/>
  <c r="AU287" i="3"/>
  <c r="AW370" i="3"/>
  <c r="W371" i="3"/>
  <c r="BJ374" i="3"/>
  <c r="AO262" i="3"/>
  <c r="AB262" i="3"/>
  <c r="U280" i="3"/>
  <c r="U281" i="3"/>
  <c r="BH282" i="3"/>
  <c r="BU286" i="3"/>
  <c r="U287" i="3"/>
  <c r="AJ371" i="3"/>
  <c r="BO262" i="3"/>
  <c r="BU284" i="3"/>
  <c r="BU285" i="3"/>
  <c r="BH287" i="3"/>
  <c r="U284" i="3"/>
  <c r="AH287" i="3"/>
  <c r="BH285" i="3"/>
  <c r="AU286" i="3"/>
  <c r="Q351" i="3"/>
  <c r="BD351" i="3"/>
  <c r="AD351" i="3"/>
  <c r="BQ351" i="3"/>
  <c r="AQ351" i="3"/>
  <c r="E412" i="3" l="1"/>
  <c r="D412" i="3"/>
  <c r="E406" i="3"/>
  <c r="D406" i="3"/>
  <c r="E400" i="3"/>
  <c r="D400" i="3"/>
  <c r="D311" i="3"/>
  <c r="E394" i="3"/>
  <c r="D394" i="3"/>
  <c r="E390" i="3"/>
  <c r="D390" i="3"/>
  <c r="D323" i="3"/>
  <c r="E275" i="3"/>
  <c r="C323" i="3" l="1"/>
  <c r="J364" i="3" l="1"/>
  <c r="J385" i="3"/>
  <c r="J384" i="3"/>
  <c r="J383" i="3"/>
  <c r="J382" i="3"/>
  <c r="J381" i="3"/>
  <c r="J380" i="3"/>
  <c r="J379" i="3"/>
  <c r="J378" i="3"/>
  <c r="J377" i="3"/>
  <c r="J368" i="3"/>
  <c r="J367" i="3"/>
  <c r="I275" i="3"/>
  <c r="I277" i="3"/>
  <c r="J366" i="3" s="1"/>
  <c r="C311" i="3"/>
  <c r="D317" i="3"/>
  <c r="C317" i="3"/>
  <c r="D305" i="3" l="1"/>
  <c r="C305" i="3"/>
  <c r="D301" i="3"/>
  <c r="C301" i="3"/>
  <c r="B196" i="3"/>
  <c r="I196" i="3"/>
  <c r="N199" i="3"/>
  <c r="G199" i="3"/>
  <c r="E384" i="3"/>
  <c r="E383" i="3"/>
  <c r="E382" i="3"/>
  <c r="E381" i="3"/>
  <c r="E380" i="3"/>
  <c r="E379" i="3"/>
  <c r="E378" i="3"/>
  <c r="E377" i="3"/>
  <c r="E376" i="3"/>
  <c r="E375" i="3"/>
  <c r="E374" i="3"/>
  <c r="E373" i="3"/>
  <c r="E372" i="3"/>
  <c r="E371" i="3"/>
  <c r="E370" i="3"/>
  <c r="E369" i="3"/>
  <c r="E368" i="3"/>
  <c r="E367" i="3"/>
  <c r="D295" i="3"/>
  <c r="D294" i="3"/>
  <c r="D293" i="3"/>
  <c r="D292" i="3"/>
  <c r="D291" i="3"/>
  <c r="D290" i="3"/>
  <c r="D289" i="3"/>
  <c r="D288" i="3"/>
  <c r="D287" i="3"/>
  <c r="D286" i="3"/>
  <c r="D285" i="3"/>
  <c r="D284" i="3"/>
  <c r="D283" i="3"/>
  <c r="D282" i="3"/>
  <c r="D281" i="3"/>
  <c r="D280" i="3"/>
  <c r="D279" i="3"/>
  <c r="D278" i="3"/>
  <c r="L364" i="3"/>
  <c r="K364" i="3"/>
  <c r="I364" i="3"/>
  <c r="H364" i="3"/>
  <c r="K275" i="3"/>
  <c r="J275" i="3"/>
  <c r="H275" i="3"/>
  <c r="G275" i="3"/>
  <c r="F275" i="3"/>
  <c r="D275" i="3"/>
  <c r="B272" i="3"/>
  <c r="C366" i="3"/>
  <c r="D366" i="3"/>
  <c r="E366" i="3"/>
  <c r="C367" i="3"/>
  <c r="D367" i="3"/>
  <c r="I367" i="3"/>
  <c r="K367" i="3"/>
  <c r="C368" i="3"/>
  <c r="D368" i="3"/>
  <c r="I368" i="3"/>
  <c r="K368" i="3"/>
  <c r="C369" i="3"/>
  <c r="D369" i="3"/>
  <c r="C370" i="3"/>
  <c r="D370" i="3"/>
  <c r="C371" i="3"/>
  <c r="D371" i="3"/>
  <c r="C372" i="3"/>
  <c r="D372" i="3"/>
  <c r="C373" i="3"/>
  <c r="D373" i="3"/>
  <c r="C374" i="3"/>
  <c r="D374" i="3"/>
  <c r="C375" i="3"/>
  <c r="D375" i="3"/>
  <c r="C376" i="3"/>
  <c r="D376" i="3"/>
  <c r="C377" i="3"/>
  <c r="D377" i="3"/>
  <c r="I377" i="3"/>
  <c r="K377" i="3"/>
  <c r="C378" i="3"/>
  <c r="D378" i="3"/>
  <c r="I378" i="3"/>
  <c r="K378" i="3"/>
  <c r="C379" i="3"/>
  <c r="D379" i="3"/>
  <c r="I379" i="3"/>
  <c r="K379" i="3"/>
  <c r="C380" i="3"/>
  <c r="D380" i="3"/>
  <c r="I380" i="3"/>
  <c r="K380" i="3"/>
  <c r="C381" i="3"/>
  <c r="D381" i="3"/>
  <c r="I381" i="3"/>
  <c r="K381" i="3"/>
  <c r="C382" i="3"/>
  <c r="D382" i="3"/>
  <c r="I382" i="3"/>
  <c r="K382" i="3"/>
  <c r="C383" i="3"/>
  <c r="D383" i="3"/>
  <c r="I383" i="3"/>
  <c r="K383" i="3"/>
  <c r="C384" i="3"/>
  <c r="D384" i="3"/>
  <c r="I384" i="3"/>
  <c r="K384" i="3"/>
  <c r="C385" i="3"/>
  <c r="D385" i="3"/>
  <c r="I385" i="3"/>
  <c r="J277" i="3"/>
  <c r="K366" i="3" s="1"/>
  <c r="D296" i="3" l="1"/>
  <c r="H277" i="3"/>
  <c r="I366" i="3" s="1"/>
  <c r="E385" i="3" l="1"/>
  <c r="D267" i="3" l="1"/>
  <c r="K229" i="3"/>
  <c r="J229" i="3"/>
  <c r="K223" i="3"/>
  <c r="J223" i="3"/>
  <c r="D230" i="3"/>
  <c r="C230" i="3"/>
  <c r="D224" i="3"/>
  <c r="C224" i="3"/>
  <c r="C267" i="3"/>
  <c r="D261" i="3"/>
  <c r="D260" i="3"/>
  <c r="D259" i="3"/>
  <c r="D258" i="3"/>
  <c r="D257" i="3"/>
  <c r="D256" i="3"/>
  <c r="D255" i="3"/>
  <c r="D254" i="3"/>
  <c r="D253" i="3"/>
  <c r="D252" i="3"/>
  <c r="D251" i="3"/>
  <c r="D250" i="3"/>
  <c r="D249" i="3"/>
  <c r="D248" i="3"/>
  <c r="D247" i="3"/>
  <c r="D246" i="3"/>
  <c r="D245" i="3"/>
  <c r="D244" i="3"/>
  <c r="Z6" i="2"/>
  <c r="AD8" i="2"/>
  <c r="AF8" i="2" s="1"/>
  <c r="AH8" i="2" s="1"/>
  <c r="AJ8" i="2" s="1"/>
  <c r="AL8" i="2" s="1"/>
  <c r="AN8" i="2" s="1"/>
  <c r="AB8" i="2"/>
  <c r="F242" i="3"/>
  <c r="E242" i="3"/>
  <c r="D242" i="3"/>
  <c r="D241" i="3"/>
  <c r="B239" i="3"/>
  <c r="D262" i="3" l="1"/>
  <c r="M199" i="3" l="1"/>
  <c r="F199" i="3"/>
  <c r="M191" i="3"/>
  <c r="L191" i="3"/>
  <c r="D191" i="3"/>
  <c r="C191" i="3"/>
  <c r="D218" i="3"/>
  <c r="D217" i="3"/>
  <c r="D216" i="3"/>
  <c r="D215" i="3"/>
  <c r="D214" i="3"/>
  <c r="D213" i="3"/>
  <c r="D212" i="3"/>
  <c r="D211" i="3"/>
  <c r="D210" i="3"/>
  <c r="D209" i="3"/>
  <c r="D208" i="3"/>
  <c r="D207" i="3"/>
  <c r="D206" i="3"/>
  <c r="D205" i="3"/>
  <c r="D204" i="3"/>
  <c r="D203" i="3"/>
  <c r="D202" i="3"/>
  <c r="D201" i="3"/>
  <c r="AB29" i="2"/>
  <c r="L199" i="3"/>
  <c r="K199" i="3"/>
  <c r="D199" i="3"/>
  <c r="E199" i="3"/>
  <c r="K219" i="3" l="1"/>
  <c r="M187" i="3" l="1"/>
  <c r="L187" i="3"/>
  <c r="M183" i="3"/>
  <c r="L183" i="3"/>
  <c r="M179" i="3"/>
  <c r="L179" i="3"/>
  <c r="D187" i="3"/>
  <c r="D183" i="3"/>
  <c r="D179" i="3"/>
  <c r="C187" i="3"/>
  <c r="C183" i="3"/>
  <c r="C179" i="3" l="1"/>
  <c r="O174" i="3"/>
  <c r="O173" i="3"/>
  <c r="O172" i="3"/>
  <c r="O171" i="3"/>
  <c r="O170" i="3"/>
  <c r="O169" i="3"/>
  <c r="O168" i="3"/>
  <c r="O167" i="3"/>
  <c r="O166" i="3"/>
  <c r="O165" i="3"/>
  <c r="O164" i="3"/>
  <c r="O163" i="3"/>
  <c r="O162" i="3"/>
  <c r="O161" i="3"/>
  <c r="O160" i="3"/>
  <c r="O159" i="3"/>
  <c r="O158" i="3"/>
  <c r="O157" i="3"/>
  <c r="O154" i="3"/>
  <c r="G153" i="3"/>
  <c r="M154" i="3"/>
  <c r="E153" i="3"/>
  <c r="L174" i="3"/>
  <c r="L173" i="3"/>
  <c r="L172" i="3"/>
  <c r="L171" i="3"/>
  <c r="L170" i="3"/>
  <c r="L169" i="3"/>
  <c r="L168" i="3"/>
  <c r="L167" i="3"/>
  <c r="L166" i="3"/>
  <c r="L165" i="3"/>
  <c r="L164" i="3"/>
  <c r="L163" i="3"/>
  <c r="L162" i="3"/>
  <c r="L161" i="3"/>
  <c r="L160" i="3"/>
  <c r="L159" i="3"/>
  <c r="L158" i="3"/>
  <c r="L157" i="3"/>
  <c r="G173" i="3"/>
  <c r="G172" i="3"/>
  <c r="G171" i="3"/>
  <c r="G170" i="3"/>
  <c r="G169" i="3"/>
  <c r="G168" i="3"/>
  <c r="G167" i="3"/>
  <c r="G166" i="3"/>
  <c r="G165" i="3"/>
  <c r="G164" i="3"/>
  <c r="G163" i="3"/>
  <c r="G162" i="3"/>
  <c r="G161" i="3"/>
  <c r="G160" i="3"/>
  <c r="G159" i="3"/>
  <c r="G158" i="3"/>
  <c r="G157" i="3"/>
  <c r="G156" i="3"/>
  <c r="D173" i="3"/>
  <c r="D172" i="3"/>
  <c r="D171" i="3"/>
  <c r="D170" i="3"/>
  <c r="D169" i="3"/>
  <c r="D168" i="3"/>
  <c r="D167" i="3"/>
  <c r="D166" i="3"/>
  <c r="D165" i="3"/>
  <c r="D164" i="3"/>
  <c r="D163" i="3"/>
  <c r="D162" i="3"/>
  <c r="D161" i="3"/>
  <c r="D160" i="3"/>
  <c r="D159" i="3"/>
  <c r="D158" i="3"/>
  <c r="D157" i="3"/>
  <c r="D156" i="3"/>
  <c r="P154" i="3"/>
  <c r="N154" i="3"/>
  <c r="L154" i="3"/>
  <c r="J151" i="3"/>
  <c r="H153" i="3"/>
  <c r="F153" i="3"/>
  <c r="D153" i="3"/>
  <c r="B150" i="3"/>
  <c r="D174" i="3" l="1"/>
  <c r="O175" i="3"/>
  <c r="G174" i="3"/>
  <c r="L175" i="3"/>
  <c r="D145" i="3" l="1"/>
  <c r="T120" i="3"/>
  <c r="R120" i="3"/>
  <c r="Q120" i="3"/>
  <c r="J120" i="3"/>
  <c r="H120" i="3"/>
  <c r="G120" i="3"/>
  <c r="K146" i="3"/>
  <c r="C145" i="3"/>
  <c r="O139" i="3" l="1"/>
  <c r="O138" i="3"/>
  <c r="O137" i="3"/>
  <c r="O136" i="3"/>
  <c r="O135" i="3"/>
  <c r="O134" i="3"/>
  <c r="O133" i="3"/>
  <c r="O132" i="3"/>
  <c r="O131" i="3"/>
  <c r="O130" i="3"/>
  <c r="O129" i="3"/>
  <c r="O128" i="3"/>
  <c r="O127" i="3"/>
  <c r="O126" i="3"/>
  <c r="O125" i="3"/>
  <c r="O124" i="3"/>
  <c r="O123" i="3"/>
  <c r="O122" i="3"/>
  <c r="N139" i="3"/>
  <c r="N138" i="3"/>
  <c r="N137" i="3"/>
  <c r="N136" i="3"/>
  <c r="N135" i="3"/>
  <c r="N134" i="3"/>
  <c r="N133" i="3"/>
  <c r="N132" i="3"/>
  <c r="N131" i="3"/>
  <c r="N130" i="3"/>
  <c r="N129" i="3"/>
  <c r="N128" i="3"/>
  <c r="N127" i="3"/>
  <c r="N126" i="3"/>
  <c r="N125" i="3"/>
  <c r="N124" i="3"/>
  <c r="N123" i="3"/>
  <c r="N122" i="3"/>
  <c r="O120" i="3"/>
  <c r="N120" i="3"/>
  <c r="E139" i="3"/>
  <c r="E138" i="3"/>
  <c r="E137" i="3"/>
  <c r="E136" i="3"/>
  <c r="E135" i="3"/>
  <c r="E134" i="3"/>
  <c r="E133" i="3"/>
  <c r="E132" i="3"/>
  <c r="E131" i="3"/>
  <c r="E130" i="3"/>
  <c r="E129" i="3"/>
  <c r="E128" i="3"/>
  <c r="E127" i="3"/>
  <c r="E126" i="3"/>
  <c r="E125" i="3"/>
  <c r="E124" i="3"/>
  <c r="E123" i="3"/>
  <c r="E122" i="3"/>
  <c r="D139" i="3"/>
  <c r="D138" i="3"/>
  <c r="D137" i="3"/>
  <c r="D136" i="3"/>
  <c r="D135" i="3"/>
  <c r="D134" i="3"/>
  <c r="D133" i="3"/>
  <c r="D132" i="3"/>
  <c r="D131" i="3"/>
  <c r="D130" i="3"/>
  <c r="D129" i="3"/>
  <c r="D128" i="3"/>
  <c r="D127" i="3"/>
  <c r="D126" i="3"/>
  <c r="D125" i="3"/>
  <c r="D124" i="3"/>
  <c r="D123" i="3"/>
  <c r="D122" i="3"/>
  <c r="G8" i="2"/>
  <c r="Q8" i="2"/>
  <c r="O8" i="2"/>
  <c r="E120" i="3"/>
  <c r="D120" i="3"/>
  <c r="L117" i="3"/>
  <c r="B117" i="3"/>
  <c r="F122" i="3" l="1"/>
  <c r="F130" i="3"/>
  <c r="F138" i="3"/>
  <c r="P132" i="3"/>
  <c r="F127" i="3"/>
  <c r="F135" i="3"/>
  <c r="P129" i="3"/>
  <c r="P137" i="3"/>
  <c r="F136" i="3"/>
  <c r="F128" i="3"/>
  <c r="P130" i="3"/>
  <c r="F129" i="3"/>
  <c r="F137" i="3"/>
  <c r="F131" i="3"/>
  <c r="F139" i="3"/>
  <c r="P125" i="3"/>
  <c r="P133" i="3"/>
  <c r="F123" i="3"/>
  <c r="P126" i="3"/>
  <c r="P134" i="3"/>
  <c r="P138" i="3"/>
  <c r="F134" i="3"/>
  <c r="P127" i="3"/>
  <c r="P128" i="3"/>
  <c r="P136" i="3"/>
  <c r="F125" i="3"/>
  <c r="F133" i="3"/>
  <c r="N140" i="3"/>
  <c r="F126" i="3"/>
  <c r="P135" i="3"/>
  <c r="P123" i="3"/>
  <c r="P131" i="3"/>
  <c r="P139" i="3"/>
  <c r="P124" i="3"/>
  <c r="O140" i="3"/>
  <c r="P122" i="3"/>
  <c r="F124" i="3"/>
  <c r="F132" i="3"/>
  <c r="E140" i="3"/>
  <c r="D140" i="3"/>
  <c r="I112" i="3"/>
  <c r="I102" i="3"/>
  <c r="D112" i="3"/>
  <c r="D102" i="3"/>
  <c r="I76" i="3"/>
  <c r="H76" i="3"/>
  <c r="I70" i="3"/>
  <c r="H70" i="3"/>
  <c r="C70" i="3"/>
  <c r="I66" i="3"/>
  <c r="H66" i="3"/>
  <c r="D76" i="3"/>
  <c r="C76" i="3"/>
  <c r="D70" i="3"/>
  <c r="D66" i="3"/>
  <c r="C66" i="3"/>
  <c r="H112" i="3"/>
  <c r="C112" i="3"/>
  <c r="I106" i="3"/>
  <c r="H106" i="3"/>
  <c r="D106" i="3"/>
  <c r="C106" i="3"/>
  <c r="H102" i="3"/>
  <c r="C102" i="3"/>
  <c r="P140" i="3" l="1"/>
  <c r="F140" i="3"/>
  <c r="C40" i="3"/>
  <c r="C42" i="3"/>
  <c r="C41" i="3"/>
  <c r="C38" i="3"/>
  <c r="C37" i="3"/>
  <c r="C36" i="3"/>
  <c r="C32" i="3"/>
  <c r="D60" i="3" l="1"/>
  <c r="D59" i="3"/>
  <c r="D58" i="3"/>
  <c r="D57" i="3"/>
  <c r="D56" i="3"/>
  <c r="D55" i="3"/>
  <c r="D54" i="3"/>
  <c r="D53" i="3"/>
  <c r="D52" i="3"/>
  <c r="L50" i="3"/>
  <c r="K50" i="3"/>
  <c r="J50" i="3"/>
  <c r="I50" i="3"/>
  <c r="H50" i="3"/>
  <c r="G50" i="3"/>
  <c r="F50" i="3"/>
  <c r="E50" i="3"/>
  <c r="D50" i="3"/>
  <c r="B46" i="3"/>
  <c r="I96" i="3"/>
  <c r="I95" i="3"/>
  <c r="I94" i="3"/>
  <c r="I93" i="3"/>
  <c r="I92" i="3"/>
  <c r="I91" i="3"/>
  <c r="I90" i="3"/>
  <c r="I89" i="3"/>
  <c r="I88" i="3"/>
  <c r="E96" i="3"/>
  <c r="E95" i="3"/>
  <c r="E94" i="3"/>
  <c r="E93" i="3"/>
  <c r="E92" i="3"/>
  <c r="E91" i="3"/>
  <c r="E90" i="3"/>
  <c r="E89" i="3"/>
  <c r="E88" i="3"/>
  <c r="D96" i="3"/>
  <c r="D95" i="3"/>
  <c r="D94" i="3"/>
  <c r="D93" i="3"/>
  <c r="D92" i="3"/>
  <c r="D91" i="3"/>
  <c r="D90" i="3"/>
  <c r="D89" i="3"/>
  <c r="D88" i="3"/>
  <c r="L86" i="3"/>
  <c r="K86" i="3"/>
  <c r="J86" i="3"/>
  <c r="I86" i="3"/>
  <c r="H86" i="3"/>
  <c r="G86" i="3"/>
  <c r="F86" i="3"/>
  <c r="E86" i="3"/>
  <c r="D86" i="3"/>
  <c r="B82" i="3"/>
  <c r="R20" i="2"/>
  <c r="Q20" i="2"/>
  <c r="I60" i="3"/>
  <c r="I59" i="3"/>
  <c r="I58" i="3"/>
  <c r="I57" i="3"/>
  <c r="I56" i="3"/>
  <c r="I55" i="3"/>
  <c r="I54" i="3"/>
  <c r="I53" i="3"/>
  <c r="I52" i="3"/>
  <c r="E60" i="3"/>
  <c r="E59" i="3"/>
  <c r="E58" i="3"/>
  <c r="E57" i="3"/>
  <c r="E56" i="3"/>
  <c r="E55" i="3"/>
  <c r="E54" i="3"/>
  <c r="E53" i="3"/>
  <c r="E52" i="3"/>
  <c r="P20" i="2"/>
  <c r="O20" i="2"/>
  <c r="N19" i="2"/>
  <c r="M19" i="2"/>
  <c r="N18" i="2"/>
  <c r="M18" i="2"/>
  <c r="N17" i="2"/>
  <c r="M17" i="2"/>
  <c r="N16" i="2"/>
  <c r="M16" i="2"/>
  <c r="N15" i="2"/>
  <c r="M15" i="2"/>
  <c r="N14" i="2"/>
  <c r="M14" i="2"/>
  <c r="N13" i="2"/>
  <c r="M13" i="2"/>
  <c r="N12" i="2"/>
  <c r="M12" i="2"/>
  <c r="N11" i="2"/>
  <c r="M11" i="2"/>
  <c r="G27" i="3"/>
  <c r="G26" i="3"/>
  <c r="G25" i="3"/>
  <c r="G24" i="3"/>
  <c r="G23" i="3"/>
  <c r="G22" i="3"/>
  <c r="G21" i="3"/>
  <c r="G20" i="3"/>
  <c r="G19" i="3"/>
  <c r="G18" i="3"/>
  <c r="G17" i="3"/>
  <c r="G16" i="3"/>
  <c r="G15" i="3"/>
  <c r="G14" i="3"/>
  <c r="G13" i="3"/>
  <c r="G12" i="3"/>
  <c r="G11" i="3"/>
  <c r="G10" i="3"/>
  <c r="G9" i="3"/>
  <c r="D27" i="3"/>
  <c r="D26" i="3"/>
  <c r="D25" i="3"/>
  <c r="D24" i="3"/>
  <c r="D23" i="3"/>
  <c r="D22" i="3"/>
  <c r="D21" i="3"/>
  <c r="D20" i="3"/>
  <c r="D19" i="3"/>
  <c r="D18" i="3"/>
  <c r="D17" i="3"/>
  <c r="D16" i="3"/>
  <c r="D15" i="3"/>
  <c r="D14" i="3"/>
  <c r="D13" i="3"/>
  <c r="D12" i="3"/>
  <c r="D11" i="3"/>
  <c r="D10" i="3"/>
  <c r="D9" i="3"/>
  <c r="T6" i="2"/>
  <c r="B3" i="3"/>
  <c r="L6" i="3"/>
  <c r="L8" i="3"/>
  <c r="L10" i="3"/>
  <c r="G4" i="4" l="1"/>
  <c r="H445" i="3"/>
  <c r="F57" i="3"/>
  <c r="G57" i="3" s="1"/>
  <c r="J57" i="3"/>
  <c r="K57" i="3" s="1"/>
  <c r="F89" i="3"/>
  <c r="G89" i="3" s="1"/>
  <c r="J94" i="3"/>
  <c r="K94" i="3" s="1"/>
  <c r="J95" i="3"/>
  <c r="K95" i="3" s="1"/>
  <c r="D103" i="3"/>
  <c r="D104" i="3"/>
  <c r="I104" i="3"/>
  <c r="I103" i="3"/>
  <c r="I68" i="3"/>
  <c r="I67" i="3"/>
  <c r="D67" i="3"/>
  <c r="D68" i="3"/>
  <c r="J91" i="3"/>
  <c r="K91" i="3" s="1"/>
  <c r="E15" i="3"/>
  <c r="E23" i="3"/>
  <c r="F92" i="3"/>
  <c r="G92" i="3" s="1"/>
  <c r="D41" i="3"/>
  <c r="D42" i="3"/>
  <c r="F56" i="3"/>
  <c r="G56" i="3" s="1"/>
  <c r="F55" i="3"/>
  <c r="G55" i="3" s="1"/>
  <c r="J55" i="3"/>
  <c r="K55" i="3" s="1"/>
  <c r="J58" i="3"/>
  <c r="K58" i="3" s="1"/>
  <c r="J93" i="3"/>
  <c r="K93" i="3" s="1"/>
  <c r="J59" i="3"/>
  <c r="K59" i="3" s="1"/>
  <c r="J90" i="3"/>
  <c r="K90" i="3" s="1"/>
  <c r="F53" i="3"/>
  <c r="D71" i="3" s="1"/>
  <c r="F54" i="3"/>
  <c r="G54" i="3" s="1"/>
  <c r="J53" i="3"/>
  <c r="I97" i="3"/>
  <c r="J96" i="3"/>
  <c r="K96" i="3" s="1"/>
  <c r="L96" i="3" s="1"/>
  <c r="J54" i="3"/>
  <c r="K54" i="3" s="1"/>
  <c r="J89" i="3"/>
  <c r="F94" i="3"/>
  <c r="G94" i="3" s="1"/>
  <c r="J92" i="3"/>
  <c r="K92" i="3" s="1"/>
  <c r="H14" i="3"/>
  <c r="F90" i="3"/>
  <c r="G90" i="3" s="1"/>
  <c r="F91" i="3"/>
  <c r="G91" i="3" s="1"/>
  <c r="J56" i="3"/>
  <c r="K56" i="3" s="1"/>
  <c r="I61" i="3"/>
  <c r="J52" i="3"/>
  <c r="K52" i="3" s="1"/>
  <c r="F60" i="3"/>
  <c r="G60" i="3" s="1"/>
  <c r="H60" i="3" s="1"/>
  <c r="J60" i="3"/>
  <c r="K60" i="3" s="1"/>
  <c r="L60" i="3" s="1"/>
  <c r="F95" i="3"/>
  <c r="G95" i="3" s="1"/>
  <c r="F93" i="3"/>
  <c r="G93" i="3" s="1"/>
  <c r="F96" i="3"/>
  <c r="G96" i="3" s="1"/>
  <c r="H96" i="3" s="1"/>
  <c r="F88" i="3"/>
  <c r="G88" i="3" s="1"/>
  <c r="J88" i="3"/>
  <c r="K88" i="3" s="1"/>
  <c r="E97" i="3"/>
  <c r="F58" i="3"/>
  <c r="G58" i="3" s="1"/>
  <c r="H57" i="3" s="1"/>
  <c r="G129" i="3" s="1"/>
  <c r="F59" i="3"/>
  <c r="G59" i="3" s="1"/>
  <c r="F52" i="3"/>
  <c r="G52" i="3" s="1"/>
  <c r="E14" i="3"/>
  <c r="E22" i="3"/>
  <c r="H15" i="3"/>
  <c r="H23" i="3"/>
  <c r="E61" i="3"/>
  <c r="H16" i="3"/>
  <c r="H24" i="3"/>
  <c r="E25" i="3"/>
  <c r="H18" i="3"/>
  <c r="E16" i="3"/>
  <c r="E24" i="3"/>
  <c r="H13" i="3"/>
  <c r="I26" i="3"/>
  <c r="E9" i="3"/>
  <c r="E17" i="3"/>
  <c r="H21" i="3"/>
  <c r="E11" i="3"/>
  <c r="E19" i="3"/>
  <c r="F26" i="3"/>
  <c r="H22" i="3"/>
  <c r="E12" i="3"/>
  <c r="E20" i="3"/>
  <c r="H10" i="3"/>
  <c r="H26" i="3"/>
  <c r="E13" i="3"/>
  <c r="E21" i="3"/>
  <c r="H11" i="3"/>
  <c r="H19" i="3"/>
  <c r="H25" i="3"/>
  <c r="H17" i="3"/>
  <c r="H9" i="3"/>
  <c r="I8" i="3" s="1"/>
  <c r="H12" i="3"/>
  <c r="H20" i="3"/>
  <c r="E10" i="3"/>
  <c r="E18" i="3"/>
  <c r="E26" i="3"/>
  <c r="L56" i="3" l="1"/>
  <c r="Q128" i="3" s="1"/>
  <c r="L57" i="3"/>
  <c r="Q129" i="3" s="1"/>
  <c r="L94" i="3"/>
  <c r="I375" i="3" s="1"/>
  <c r="J375" i="3" s="1"/>
  <c r="D108" i="3"/>
  <c r="D107" i="3"/>
  <c r="F22" i="3"/>
  <c r="E169" i="3" s="1"/>
  <c r="F170" i="3" s="1"/>
  <c r="H170" i="3" s="1"/>
  <c r="E215" i="3" s="1"/>
  <c r="F215" i="3" s="1"/>
  <c r="M156" i="3"/>
  <c r="F366" i="3"/>
  <c r="M174" i="3"/>
  <c r="F384" i="3"/>
  <c r="E173" i="3"/>
  <c r="E295" i="3"/>
  <c r="H54" i="3"/>
  <c r="G126" i="3" s="1"/>
  <c r="H55" i="3"/>
  <c r="G127" i="3" s="1"/>
  <c r="F15" i="3"/>
  <c r="L93" i="3"/>
  <c r="L91" i="3"/>
  <c r="K89" i="3"/>
  <c r="L89" i="3" s="1"/>
  <c r="I107" i="3"/>
  <c r="I108" i="3"/>
  <c r="F23" i="3"/>
  <c r="H88" i="3"/>
  <c r="D114" i="3"/>
  <c r="D113" i="3"/>
  <c r="K53" i="3"/>
  <c r="L53" i="3" s="1"/>
  <c r="Q125" i="3" s="1"/>
  <c r="I72" i="3"/>
  <c r="I71" i="3"/>
  <c r="H56" i="3"/>
  <c r="G128" i="3" s="1"/>
  <c r="G53" i="3"/>
  <c r="D77" i="3" s="1"/>
  <c r="D72" i="3"/>
  <c r="H91" i="3"/>
  <c r="L54" i="3"/>
  <c r="Q126" i="3" s="1"/>
  <c r="L58" i="3"/>
  <c r="Q130" i="3" s="1"/>
  <c r="L95" i="3"/>
  <c r="F8" i="3"/>
  <c r="E277" i="3" s="1"/>
  <c r="D37" i="3"/>
  <c r="D38" i="3"/>
  <c r="F25" i="3"/>
  <c r="I22" i="3"/>
  <c r="I14" i="3"/>
  <c r="L90" i="3"/>
  <c r="D33" i="3"/>
  <c r="D34" i="3"/>
  <c r="L92" i="3"/>
  <c r="H90" i="3"/>
  <c r="I13" i="3"/>
  <c r="H93" i="3"/>
  <c r="F16" i="3"/>
  <c r="I23" i="3"/>
  <c r="I24" i="3"/>
  <c r="F17" i="3"/>
  <c r="F9" i="3"/>
  <c r="H89" i="3"/>
  <c r="H59" i="3"/>
  <c r="G131" i="3" s="1"/>
  <c r="L59" i="3"/>
  <c r="Q131" i="3" s="1"/>
  <c r="H95" i="3"/>
  <c r="H92" i="3"/>
  <c r="H94" i="3"/>
  <c r="L55" i="3"/>
  <c r="Q127" i="3" s="1"/>
  <c r="F13" i="3"/>
  <c r="I15" i="3"/>
  <c r="F11" i="3"/>
  <c r="I20" i="3"/>
  <c r="I18" i="3"/>
  <c r="I21" i="3"/>
  <c r="F14" i="3"/>
  <c r="I10" i="3"/>
  <c r="F21" i="3"/>
  <c r="H58" i="3"/>
  <c r="G130" i="3" s="1"/>
  <c r="F24" i="3"/>
  <c r="F20" i="3"/>
  <c r="I16" i="3"/>
  <c r="F18" i="3"/>
  <c r="F12" i="3"/>
  <c r="I11" i="3"/>
  <c r="F19" i="3"/>
  <c r="F10" i="3"/>
  <c r="I19" i="3"/>
  <c r="I25" i="3"/>
  <c r="I9" i="3"/>
  <c r="I17" i="3"/>
  <c r="I12" i="3"/>
  <c r="R130" i="3" l="1"/>
  <c r="S130" i="3" s="1"/>
  <c r="T130" i="3" s="1"/>
  <c r="R366" i="3"/>
  <c r="AE366" i="3"/>
  <c r="AR366" i="3" s="1"/>
  <c r="BE366" i="3" s="1"/>
  <c r="BR366" i="3" s="1"/>
  <c r="P295" i="3"/>
  <c r="AP295" i="3"/>
  <c r="BP295" i="3"/>
  <c r="AC295" i="3"/>
  <c r="BC295" i="3"/>
  <c r="R384" i="3"/>
  <c r="AE384" i="3"/>
  <c r="AR384" i="3" s="1"/>
  <c r="BE384" i="3" s="1"/>
  <c r="BR384" i="3" s="1"/>
  <c r="BC277" i="3"/>
  <c r="AP277" i="3"/>
  <c r="BP277" i="3"/>
  <c r="AC277" i="3"/>
  <c r="E291" i="3"/>
  <c r="E166" i="3"/>
  <c r="F167" i="3" s="1"/>
  <c r="H167" i="3" s="1"/>
  <c r="E212" i="3" s="1"/>
  <c r="E288" i="3"/>
  <c r="E156" i="3"/>
  <c r="D180" i="3" s="1"/>
  <c r="E278" i="3"/>
  <c r="M159" i="3"/>
  <c r="N160" i="3" s="1"/>
  <c r="P160" i="3" s="1"/>
  <c r="L204" i="3" s="1"/>
  <c r="M204" i="3" s="1"/>
  <c r="F369" i="3"/>
  <c r="R127" i="3"/>
  <c r="S127" i="3" s="1"/>
  <c r="T127" i="3" s="1"/>
  <c r="I372" i="3"/>
  <c r="J372" i="3" s="1"/>
  <c r="R129" i="3"/>
  <c r="S129" i="3" s="1"/>
  <c r="T129" i="3" s="1"/>
  <c r="I374" i="3"/>
  <c r="J374" i="3" s="1"/>
  <c r="M163" i="3"/>
  <c r="N164" i="3" s="1"/>
  <c r="P164" i="3" s="1"/>
  <c r="L208" i="3" s="1"/>
  <c r="M208" i="3" s="1"/>
  <c r="F373" i="3"/>
  <c r="R128" i="3"/>
  <c r="S128" i="3" s="1"/>
  <c r="T128" i="3" s="1"/>
  <c r="I373" i="3"/>
  <c r="J373" i="3" s="1"/>
  <c r="E164" i="3"/>
  <c r="F165" i="3" s="1"/>
  <c r="H165" i="3" s="1"/>
  <c r="E210" i="3" s="1"/>
  <c r="E286" i="3"/>
  <c r="M160" i="3"/>
  <c r="N161" i="3" s="1"/>
  <c r="P161" i="3" s="1"/>
  <c r="L205" i="3" s="1"/>
  <c r="F370" i="3"/>
  <c r="E161" i="3"/>
  <c r="F162" i="3" s="1"/>
  <c r="H162" i="3" s="1"/>
  <c r="E207" i="3" s="1"/>
  <c r="E283" i="3"/>
  <c r="M172" i="3"/>
  <c r="N173" i="3" s="1"/>
  <c r="P173" i="3" s="1"/>
  <c r="L217" i="3" s="1"/>
  <c r="M217" i="3" s="1"/>
  <c r="F382" i="3"/>
  <c r="AE382" i="3" s="1"/>
  <c r="AR382" i="3" s="1"/>
  <c r="BE382" i="3" s="1"/>
  <c r="BR382" i="3" s="1"/>
  <c r="M165" i="3"/>
  <c r="N166" i="3" s="1"/>
  <c r="P166" i="3" s="1"/>
  <c r="L210" i="3" s="1"/>
  <c r="M210" i="3" s="1"/>
  <c r="F375" i="3"/>
  <c r="M169" i="3"/>
  <c r="N170" i="3" s="1"/>
  <c r="P170" i="3" s="1"/>
  <c r="L214" i="3" s="1"/>
  <c r="M214" i="3" s="1"/>
  <c r="F379" i="3"/>
  <c r="AE379" i="3" s="1"/>
  <c r="AR379" i="3" s="1"/>
  <c r="BE379" i="3" s="1"/>
  <c r="BR379" i="3" s="1"/>
  <c r="M171" i="3"/>
  <c r="N172" i="3" s="1"/>
  <c r="P172" i="3" s="1"/>
  <c r="L216" i="3" s="1"/>
  <c r="M216" i="3" s="1"/>
  <c r="F381" i="3"/>
  <c r="M157" i="3"/>
  <c r="N158" i="3" s="1"/>
  <c r="P158" i="3" s="1"/>
  <c r="L202" i="3" s="1"/>
  <c r="F367" i="3"/>
  <c r="H131" i="3"/>
  <c r="I131" i="3" s="1"/>
  <c r="J131" i="3" s="1"/>
  <c r="H287" i="3"/>
  <c r="I287" i="3" s="1"/>
  <c r="M168" i="3"/>
  <c r="N169" i="3" s="1"/>
  <c r="P169" i="3" s="1"/>
  <c r="L213" i="3" s="1"/>
  <c r="M213" i="3" s="1"/>
  <c r="F378" i="3"/>
  <c r="H129" i="3"/>
  <c r="I129" i="3" s="1"/>
  <c r="J129" i="3" s="1"/>
  <c r="H285" i="3"/>
  <c r="I285" i="3" s="1"/>
  <c r="M170" i="3"/>
  <c r="N171" i="3" s="1"/>
  <c r="P171" i="3" s="1"/>
  <c r="L215" i="3" s="1"/>
  <c r="M215" i="3" s="1"/>
  <c r="F380" i="3"/>
  <c r="H127" i="3"/>
  <c r="I127" i="3" s="1"/>
  <c r="J127" i="3" s="1"/>
  <c r="H283" i="3"/>
  <c r="I283" i="3" s="1"/>
  <c r="E162" i="3"/>
  <c r="F163" i="3" s="1"/>
  <c r="H163" i="3" s="1"/>
  <c r="E208" i="3" s="1"/>
  <c r="E284" i="3"/>
  <c r="E160" i="3"/>
  <c r="F161" i="3" s="1"/>
  <c r="H161" i="3" s="1"/>
  <c r="E206" i="3" s="1"/>
  <c r="E282" i="3"/>
  <c r="M158" i="3"/>
  <c r="N159" i="3" s="1"/>
  <c r="P159" i="3" s="1"/>
  <c r="L203" i="3" s="1"/>
  <c r="M203" i="3" s="1"/>
  <c r="F368" i="3"/>
  <c r="AE368" i="3" s="1"/>
  <c r="AR368" i="3" s="1"/>
  <c r="BE368" i="3" s="1"/>
  <c r="BR368" i="3" s="1"/>
  <c r="E155" i="3"/>
  <c r="P277" i="3"/>
  <c r="E159" i="3"/>
  <c r="F160" i="3" s="1"/>
  <c r="H160" i="3" s="1"/>
  <c r="E205" i="3" s="1"/>
  <c r="E281" i="3"/>
  <c r="H130" i="3"/>
  <c r="I130" i="3" s="1"/>
  <c r="J130" i="3" s="1"/>
  <c r="H286" i="3"/>
  <c r="I286" i="3" s="1"/>
  <c r="E165" i="3"/>
  <c r="F166" i="3" s="1"/>
  <c r="H166" i="3" s="1"/>
  <c r="E211" i="3" s="1"/>
  <c r="E287" i="3"/>
  <c r="H128" i="3"/>
  <c r="I128" i="3" s="1"/>
  <c r="J128" i="3" s="1"/>
  <c r="H284" i="3"/>
  <c r="I284" i="3" s="1"/>
  <c r="R126" i="3"/>
  <c r="S126" i="3" s="1"/>
  <c r="T126" i="3" s="1"/>
  <c r="I371" i="3"/>
  <c r="J371" i="3" s="1"/>
  <c r="M164" i="3"/>
  <c r="N165" i="3" s="1"/>
  <c r="P165" i="3" s="1"/>
  <c r="L209" i="3" s="1"/>
  <c r="M209" i="3" s="1"/>
  <c r="F374" i="3"/>
  <c r="AE374" i="3" s="1"/>
  <c r="AR374" i="3" s="1"/>
  <c r="BE374" i="3" s="1"/>
  <c r="BR374" i="3" s="1"/>
  <c r="M166" i="3"/>
  <c r="N167" i="3" s="1"/>
  <c r="P167" i="3" s="1"/>
  <c r="L211" i="3" s="1"/>
  <c r="M211" i="3" s="1"/>
  <c r="F376" i="3"/>
  <c r="E163" i="3"/>
  <c r="F164" i="3" s="1"/>
  <c r="H164" i="3" s="1"/>
  <c r="E209" i="3" s="1"/>
  <c r="E285" i="3"/>
  <c r="M162" i="3"/>
  <c r="N163" i="3" s="1"/>
  <c r="P163" i="3" s="1"/>
  <c r="L207" i="3" s="1"/>
  <c r="M207" i="3" s="1"/>
  <c r="F372" i="3"/>
  <c r="AE372" i="3" s="1"/>
  <c r="AR372" i="3" s="1"/>
  <c r="BE372" i="3" s="1"/>
  <c r="BR372" i="3" s="1"/>
  <c r="M173" i="3"/>
  <c r="N174" i="3" s="1"/>
  <c r="P174" i="3" s="1"/>
  <c r="F383" i="3"/>
  <c r="E167" i="3"/>
  <c r="F168" i="3" s="1"/>
  <c r="H168" i="3" s="1"/>
  <c r="E213" i="3" s="1"/>
  <c r="F213" i="3" s="1"/>
  <c r="E289" i="3"/>
  <c r="M167" i="3"/>
  <c r="N168" i="3" s="1"/>
  <c r="P168" i="3" s="1"/>
  <c r="L212" i="3" s="1"/>
  <c r="M212" i="3" s="1"/>
  <c r="F377" i="3"/>
  <c r="E171" i="3"/>
  <c r="F172" i="3" s="1"/>
  <c r="H172" i="3" s="1"/>
  <c r="E217" i="3" s="1"/>
  <c r="E293" i="3"/>
  <c r="E158" i="3"/>
  <c r="F159" i="3" s="1"/>
  <c r="H159" i="3" s="1"/>
  <c r="E204" i="3" s="1"/>
  <c r="F204" i="3" s="1"/>
  <c r="E280" i="3"/>
  <c r="M161" i="3"/>
  <c r="N162" i="3" s="1"/>
  <c r="P162" i="3" s="1"/>
  <c r="L206" i="3" s="1"/>
  <c r="F371" i="3"/>
  <c r="AE371" i="3" s="1"/>
  <c r="AR371" i="3" s="1"/>
  <c r="BE371" i="3" s="1"/>
  <c r="BR371" i="3" s="1"/>
  <c r="E172" i="3"/>
  <c r="F173" i="3" s="1"/>
  <c r="H173" i="3" s="1"/>
  <c r="E294" i="3"/>
  <c r="H124" i="3"/>
  <c r="H280" i="3"/>
  <c r="I280" i="3" s="1"/>
  <c r="E170" i="3"/>
  <c r="F171" i="3" s="1"/>
  <c r="H171" i="3" s="1"/>
  <c r="E216" i="3" s="1"/>
  <c r="E292" i="3"/>
  <c r="H125" i="3"/>
  <c r="H281" i="3"/>
  <c r="I281" i="3" s="1"/>
  <c r="E157" i="3"/>
  <c r="F158" i="3" s="1"/>
  <c r="H158" i="3" s="1"/>
  <c r="E203" i="3" s="1"/>
  <c r="F203" i="3" s="1"/>
  <c r="E279" i="3"/>
  <c r="H126" i="3"/>
  <c r="I126" i="3" s="1"/>
  <c r="J126" i="3" s="1"/>
  <c r="H282" i="3"/>
  <c r="I282" i="3" s="1"/>
  <c r="E168" i="3"/>
  <c r="F169" i="3" s="1"/>
  <c r="H169" i="3" s="1"/>
  <c r="E214" i="3" s="1"/>
  <c r="E290" i="3"/>
  <c r="R131" i="3"/>
  <c r="S131" i="3" s="1"/>
  <c r="T131" i="3" s="1"/>
  <c r="I376" i="3"/>
  <c r="J376" i="3" s="1"/>
  <c r="R125" i="3"/>
  <c r="S125" i="3" s="1"/>
  <c r="T125" i="3" s="1"/>
  <c r="I370" i="3"/>
  <c r="J370" i="3" s="1"/>
  <c r="H52" i="3"/>
  <c r="G124" i="3" s="1"/>
  <c r="D146" i="3" s="1"/>
  <c r="I113" i="3"/>
  <c r="I114" i="3"/>
  <c r="L88" i="3"/>
  <c r="L52" i="3"/>
  <c r="Q124" i="3" s="1"/>
  <c r="I77" i="3"/>
  <c r="I78" i="3"/>
  <c r="H53" i="3"/>
  <c r="G125" i="3" s="1"/>
  <c r="D78" i="3"/>
  <c r="N213" i="3" l="1"/>
  <c r="F345" i="3" s="1"/>
  <c r="R345" i="3" s="1"/>
  <c r="AP279" i="3"/>
  <c r="BP279" i="3"/>
  <c r="AC279" i="3"/>
  <c r="BC279" i="3"/>
  <c r="P294" i="3"/>
  <c r="AP294" i="3"/>
  <c r="AC294" i="3"/>
  <c r="BP294" i="3"/>
  <c r="BC294" i="3"/>
  <c r="R377" i="3"/>
  <c r="AE377" i="3"/>
  <c r="AR377" i="3" s="1"/>
  <c r="BE377" i="3" s="1"/>
  <c r="BR377" i="3" s="1"/>
  <c r="BC285" i="3"/>
  <c r="BP285" i="3"/>
  <c r="AP285" i="3"/>
  <c r="AC285" i="3"/>
  <c r="R375" i="3"/>
  <c r="AE375" i="3"/>
  <c r="AR375" i="3" s="1"/>
  <c r="BE375" i="3" s="1"/>
  <c r="BR375" i="3" s="1"/>
  <c r="AP286" i="3"/>
  <c r="BP286" i="3"/>
  <c r="AC286" i="3"/>
  <c r="BC286" i="3"/>
  <c r="R367" i="3"/>
  <c r="AE367" i="3"/>
  <c r="AR367" i="3" s="1"/>
  <c r="BE367" i="3" s="1"/>
  <c r="BR367" i="3" s="1"/>
  <c r="AC289" i="3"/>
  <c r="BP289" i="3"/>
  <c r="BC289" i="3"/>
  <c r="AP289" i="3"/>
  <c r="AP287" i="3"/>
  <c r="BP287" i="3"/>
  <c r="AC287" i="3"/>
  <c r="BC287" i="3"/>
  <c r="R380" i="3"/>
  <c r="AE380" i="3"/>
  <c r="AR380" i="3" s="1"/>
  <c r="BE380" i="3" s="1"/>
  <c r="BR380" i="3" s="1"/>
  <c r="R369" i="3"/>
  <c r="AE369" i="3"/>
  <c r="AR369" i="3" s="1"/>
  <c r="BE369" i="3" s="1"/>
  <c r="BR369" i="3" s="1"/>
  <c r="AC291" i="3"/>
  <c r="BC291" i="3"/>
  <c r="AP291" i="3"/>
  <c r="BP291" i="3"/>
  <c r="R376" i="3"/>
  <c r="AE376" i="3"/>
  <c r="AR376" i="3" s="1"/>
  <c r="BE376" i="3" s="1"/>
  <c r="BR376" i="3" s="1"/>
  <c r="BP290" i="3"/>
  <c r="AC290" i="3"/>
  <c r="BC290" i="3"/>
  <c r="AP290" i="3"/>
  <c r="BC292" i="3"/>
  <c r="AP292" i="3"/>
  <c r="BP292" i="3"/>
  <c r="AC292" i="3"/>
  <c r="AP280" i="3"/>
  <c r="BP280" i="3"/>
  <c r="BC280" i="3"/>
  <c r="AC280" i="3"/>
  <c r="R383" i="3"/>
  <c r="AE383" i="3"/>
  <c r="AR383" i="3" s="1"/>
  <c r="BE383" i="3" s="1"/>
  <c r="BR383" i="3" s="1"/>
  <c r="BP282" i="3"/>
  <c r="AC282" i="3"/>
  <c r="BC282" i="3"/>
  <c r="AP282" i="3"/>
  <c r="R381" i="3"/>
  <c r="AE381" i="3"/>
  <c r="AR381" i="3" s="1"/>
  <c r="BE381" i="3" s="1"/>
  <c r="BR381" i="3" s="1"/>
  <c r="AC283" i="3"/>
  <c r="BC283" i="3"/>
  <c r="AP283" i="3"/>
  <c r="BP283" i="3"/>
  <c r="R373" i="3"/>
  <c r="AE373" i="3"/>
  <c r="AR373" i="3" s="1"/>
  <c r="BE373" i="3" s="1"/>
  <c r="BR373" i="3" s="1"/>
  <c r="P278" i="3"/>
  <c r="AC278" i="3"/>
  <c r="AP278" i="3"/>
  <c r="BP278" i="3"/>
  <c r="BC278" i="3"/>
  <c r="N209" i="3"/>
  <c r="F341" i="3" s="1"/>
  <c r="R341" i="3" s="1"/>
  <c r="BC293" i="3"/>
  <c r="AP293" i="3"/>
  <c r="BP293" i="3"/>
  <c r="AC293" i="3"/>
  <c r="BP281" i="3"/>
  <c r="AC281" i="3"/>
  <c r="BC281" i="3"/>
  <c r="AP281" i="3"/>
  <c r="BC284" i="3"/>
  <c r="AP284" i="3"/>
  <c r="BP284" i="3"/>
  <c r="AC284" i="3"/>
  <c r="R378" i="3"/>
  <c r="AE378" i="3"/>
  <c r="AR378" i="3" s="1"/>
  <c r="BE378" i="3" s="1"/>
  <c r="BR378" i="3" s="1"/>
  <c r="R370" i="3"/>
  <c r="AE370" i="3"/>
  <c r="AR370" i="3" s="1"/>
  <c r="BE370" i="3" s="1"/>
  <c r="BR370" i="3" s="1"/>
  <c r="AP288" i="3"/>
  <c r="BP288" i="3"/>
  <c r="BC288" i="3"/>
  <c r="AC288" i="3"/>
  <c r="F290" i="3"/>
  <c r="P289" i="3"/>
  <c r="F291" i="3"/>
  <c r="P290" i="3"/>
  <c r="F293" i="3"/>
  <c r="P292" i="3"/>
  <c r="F281" i="3"/>
  <c r="P280" i="3"/>
  <c r="G375" i="3"/>
  <c r="R374" i="3"/>
  <c r="F283" i="3"/>
  <c r="P282" i="3"/>
  <c r="F284" i="3"/>
  <c r="P283" i="3"/>
  <c r="G372" i="3"/>
  <c r="R371" i="3"/>
  <c r="G369" i="3"/>
  <c r="R368" i="3"/>
  <c r="G383" i="3"/>
  <c r="R382" i="3"/>
  <c r="F294" i="3"/>
  <c r="P293" i="3"/>
  <c r="G373" i="3"/>
  <c r="R372" i="3"/>
  <c r="F282" i="3"/>
  <c r="P281" i="3"/>
  <c r="F285" i="3"/>
  <c r="P284" i="3"/>
  <c r="G380" i="3"/>
  <c r="R379" i="3"/>
  <c r="F289" i="3"/>
  <c r="P288" i="3"/>
  <c r="F288" i="3"/>
  <c r="P287" i="3"/>
  <c r="F280" i="3"/>
  <c r="P279" i="3"/>
  <c r="F286" i="3"/>
  <c r="P285" i="3"/>
  <c r="F287" i="3"/>
  <c r="P286" i="3"/>
  <c r="F292" i="3"/>
  <c r="P291" i="3"/>
  <c r="M180" i="3"/>
  <c r="N212" i="3"/>
  <c r="F344" i="3" s="1"/>
  <c r="M181" i="3"/>
  <c r="N210" i="3"/>
  <c r="F342" i="3" s="1"/>
  <c r="E392" i="3"/>
  <c r="E391" i="3"/>
  <c r="N211" i="3"/>
  <c r="F343" i="3" s="1"/>
  <c r="E395" i="3"/>
  <c r="E396" i="3"/>
  <c r="I125" i="3"/>
  <c r="J125" i="3" s="1"/>
  <c r="D147" i="3"/>
  <c r="M184" i="3"/>
  <c r="N208" i="3"/>
  <c r="F340" i="3" s="1"/>
  <c r="N207" i="3"/>
  <c r="D181" i="3"/>
  <c r="I124" i="3"/>
  <c r="J124" i="3" s="1"/>
  <c r="M185" i="3"/>
  <c r="F157" i="3"/>
  <c r="H157" i="3" s="1"/>
  <c r="E202" i="3" s="1"/>
  <c r="D307" i="3"/>
  <c r="D306" i="3"/>
  <c r="F295" i="3"/>
  <c r="D185" i="3"/>
  <c r="D184" i="3"/>
  <c r="D302" i="3"/>
  <c r="F279" i="3"/>
  <c r="D303" i="3"/>
  <c r="R124" i="3"/>
  <c r="S124" i="3" s="1"/>
  <c r="T124" i="3" s="1"/>
  <c r="T140" i="3" s="1"/>
  <c r="L156" i="3" s="1"/>
  <c r="I369" i="3"/>
  <c r="J369" i="3" s="1"/>
  <c r="M202" i="3"/>
  <c r="N202" i="3" s="1"/>
  <c r="F334" i="3" s="1"/>
  <c r="K224" i="3"/>
  <c r="K225" i="3"/>
  <c r="N203" i="3"/>
  <c r="F335" i="3" s="1"/>
  <c r="F216" i="3"/>
  <c r="G215" i="3" s="1"/>
  <c r="G203" i="3"/>
  <c r="E246" i="3" s="1"/>
  <c r="P246" i="3" s="1"/>
  <c r="N215" i="3"/>
  <c r="F347" i="3" s="1"/>
  <c r="F207" i="3"/>
  <c r="M205" i="3"/>
  <c r="N204" i="3" s="1"/>
  <c r="F336" i="3" s="1"/>
  <c r="L218" i="3"/>
  <c r="M218" i="3" s="1"/>
  <c r="N218" i="3" s="1"/>
  <c r="F350" i="3" s="1"/>
  <c r="F209" i="3"/>
  <c r="F208" i="3"/>
  <c r="N216" i="3"/>
  <c r="F348" i="3" s="1"/>
  <c r="F205" i="3"/>
  <c r="G204" i="3" s="1"/>
  <c r="E247" i="3" s="1"/>
  <c r="P247" i="3" s="1"/>
  <c r="E218" i="3"/>
  <c r="F210" i="3"/>
  <c r="N214" i="3"/>
  <c r="F346" i="3" s="1"/>
  <c r="F212" i="3"/>
  <c r="G212" i="3" s="1"/>
  <c r="E255" i="3" s="1"/>
  <c r="F214" i="3"/>
  <c r="G214" i="3" s="1"/>
  <c r="F217" i="3"/>
  <c r="F211" i="3"/>
  <c r="I8" i="2"/>
  <c r="E6" i="2"/>
  <c r="G345" i="3" l="1"/>
  <c r="H379" i="3" s="1"/>
  <c r="G341" i="3"/>
  <c r="H375" i="3" s="1"/>
  <c r="L375" i="3" s="1"/>
  <c r="Q375" i="3" s="1"/>
  <c r="S376" i="3" s="1"/>
  <c r="R343" i="3"/>
  <c r="G343" i="3"/>
  <c r="H377" i="3" s="1"/>
  <c r="AE341" i="3"/>
  <c r="S341" i="3"/>
  <c r="T375" i="3" s="1"/>
  <c r="F255" i="3"/>
  <c r="G289" i="3" s="1"/>
  <c r="K289" i="3" s="1"/>
  <c r="H433" i="3" s="1"/>
  <c r="P255" i="3"/>
  <c r="R350" i="3"/>
  <c r="G350" i="3"/>
  <c r="H384" i="3" s="1"/>
  <c r="G216" i="3"/>
  <c r="R335" i="3"/>
  <c r="G335" i="3"/>
  <c r="H369" i="3" s="1"/>
  <c r="L369" i="3" s="1"/>
  <c r="R346" i="3"/>
  <c r="G346" i="3"/>
  <c r="H380" i="3" s="1"/>
  <c r="L380" i="3" s="1"/>
  <c r="R336" i="3"/>
  <c r="G336" i="3"/>
  <c r="H370" i="3" s="1"/>
  <c r="R334" i="3"/>
  <c r="E358" i="3"/>
  <c r="G334" i="3"/>
  <c r="H368" i="3" s="1"/>
  <c r="E357" i="3"/>
  <c r="F339" i="3"/>
  <c r="R340" i="3"/>
  <c r="G340" i="3"/>
  <c r="H374" i="3" s="1"/>
  <c r="R344" i="3"/>
  <c r="G344" i="3"/>
  <c r="H378" i="3" s="1"/>
  <c r="R347" i="3"/>
  <c r="G347" i="3"/>
  <c r="H381" i="3" s="1"/>
  <c r="R342" i="3"/>
  <c r="G342" i="3"/>
  <c r="H376" i="3" s="1"/>
  <c r="R348" i="3"/>
  <c r="G348" i="3"/>
  <c r="H382" i="3" s="1"/>
  <c r="L147" i="3"/>
  <c r="AC247" i="3"/>
  <c r="Q247" i="3"/>
  <c r="R281" i="3" s="1"/>
  <c r="AC246" i="3"/>
  <c r="Q246" i="3"/>
  <c r="R280" i="3" s="1"/>
  <c r="AE345" i="3"/>
  <c r="S345" i="3"/>
  <c r="T379" i="3" s="1"/>
  <c r="J140" i="3"/>
  <c r="D155" i="3" s="1"/>
  <c r="D188" i="3" s="1"/>
  <c r="L148" i="3"/>
  <c r="F247" i="3"/>
  <c r="G281" i="3" s="1"/>
  <c r="K281" i="3" s="1"/>
  <c r="E259" i="3"/>
  <c r="F246" i="3"/>
  <c r="G280" i="3" s="1"/>
  <c r="K280" i="3" s="1"/>
  <c r="E258" i="3"/>
  <c r="E257" i="3"/>
  <c r="G207" i="3"/>
  <c r="E250" i="3" s="1"/>
  <c r="D226" i="3"/>
  <c r="D225" i="3"/>
  <c r="K231" i="3"/>
  <c r="K230" i="3"/>
  <c r="G213" i="3"/>
  <c r="G211" i="3"/>
  <c r="E254" i="3" s="1"/>
  <c r="D219" i="3"/>
  <c r="N217" i="3"/>
  <c r="F349" i="3" s="1"/>
  <c r="G208" i="3"/>
  <c r="E251" i="3" s="1"/>
  <c r="F202" i="3"/>
  <c r="G210" i="3"/>
  <c r="E253" i="3" s="1"/>
  <c r="G209" i="3"/>
  <c r="E252" i="3" s="1"/>
  <c r="F218" i="3"/>
  <c r="G218" i="3" s="1"/>
  <c r="N157" i="3"/>
  <c r="M189" i="3"/>
  <c r="M188" i="3"/>
  <c r="G430" i="3" l="1"/>
  <c r="Q380" i="3"/>
  <c r="S381" i="3" s="1"/>
  <c r="G435" i="3"/>
  <c r="D189" i="3"/>
  <c r="O280" i="3"/>
  <c r="Q281" i="3" s="1"/>
  <c r="W281" i="3" s="1"/>
  <c r="H424" i="3"/>
  <c r="Q369" i="3"/>
  <c r="S370" i="3" s="1"/>
  <c r="G424" i="3"/>
  <c r="O281" i="3"/>
  <c r="Q282" i="3" s="1"/>
  <c r="H425" i="3"/>
  <c r="AE344" i="3"/>
  <c r="S344" i="3"/>
  <c r="T378" i="3" s="1"/>
  <c r="F156" i="3"/>
  <c r="H156" i="3" s="1"/>
  <c r="E201" i="3" s="1"/>
  <c r="F250" i="3"/>
  <c r="G284" i="3" s="1"/>
  <c r="K284" i="3" s="1"/>
  <c r="J284" i="3" s="1"/>
  <c r="P250" i="3"/>
  <c r="AE350" i="3"/>
  <c r="S350" i="3"/>
  <c r="T384" i="3" s="1"/>
  <c r="F257" i="3"/>
  <c r="G291" i="3" s="1"/>
  <c r="K291" i="3" s="1"/>
  <c r="H435" i="3" s="1"/>
  <c r="P257" i="3"/>
  <c r="AE348" i="3"/>
  <c r="S348" i="3"/>
  <c r="T382" i="3" s="1"/>
  <c r="AE340" i="3"/>
  <c r="S340" i="3"/>
  <c r="T374" i="3" s="1"/>
  <c r="AE336" i="3"/>
  <c r="S336" i="3"/>
  <c r="T370" i="3" s="1"/>
  <c r="AC255" i="3"/>
  <c r="Q255" i="3"/>
  <c r="R289" i="3" s="1"/>
  <c r="F258" i="3"/>
  <c r="G292" i="3" s="1"/>
  <c r="K292" i="3" s="1"/>
  <c r="H436" i="3" s="1"/>
  <c r="P258" i="3"/>
  <c r="AR345" i="3"/>
  <c r="AF345" i="3"/>
  <c r="AG379" i="3" s="1"/>
  <c r="R339" i="3"/>
  <c r="G339" i="3"/>
  <c r="H373" i="3" s="1"/>
  <c r="L373" i="3" s="1"/>
  <c r="G379" i="3"/>
  <c r="L379" i="3" s="1"/>
  <c r="O289" i="3"/>
  <c r="Q290" i="3" s="1"/>
  <c r="AE334" i="3"/>
  <c r="S334" i="3"/>
  <c r="T368" i="3" s="1"/>
  <c r="F254" i="3"/>
  <c r="G288" i="3" s="1"/>
  <c r="K288" i="3" s="1"/>
  <c r="H432" i="3" s="1"/>
  <c r="P254" i="3"/>
  <c r="F253" i="3"/>
  <c r="G287" i="3" s="1"/>
  <c r="K287" i="3" s="1"/>
  <c r="K376" i="3" s="1"/>
  <c r="P253" i="3"/>
  <c r="AE342" i="3"/>
  <c r="S342" i="3"/>
  <c r="T376" i="3" s="1"/>
  <c r="Y376" i="3" s="1"/>
  <c r="AE346" i="3"/>
  <c r="S346" i="3"/>
  <c r="T380" i="3" s="1"/>
  <c r="AF341" i="3"/>
  <c r="AG375" i="3" s="1"/>
  <c r="AR341" i="3"/>
  <c r="F259" i="3"/>
  <c r="G293" i="3" s="1"/>
  <c r="K293" i="3" s="1"/>
  <c r="P259" i="3"/>
  <c r="AD246" i="3"/>
  <c r="AE280" i="3" s="1"/>
  <c r="AP246" i="3"/>
  <c r="F251" i="3"/>
  <c r="G285" i="3" s="1"/>
  <c r="K285" i="3" s="1"/>
  <c r="K374" i="3" s="1"/>
  <c r="P251" i="3"/>
  <c r="AE347" i="3"/>
  <c r="S347" i="3"/>
  <c r="T381" i="3" s="1"/>
  <c r="AE335" i="3"/>
  <c r="S335" i="3"/>
  <c r="T369" i="3" s="1"/>
  <c r="F252" i="3"/>
  <c r="G286" i="3" s="1"/>
  <c r="K286" i="3" s="1"/>
  <c r="J286" i="3" s="1"/>
  <c r="P252" i="3"/>
  <c r="R349" i="3"/>
  <c r="G349" i="3"/>
  <c r="H383" i="3" s="1"/>
  <c r="L383" i="3" s="1"/>
  <c r="AP247" i="3"/>
  <c r="AD247" i="3"/>
  <c r="AE281" i="3" s="1"/>
  <c r="AE343" i="3"/>
  <c r="S343" i="3"/>
  <c r="T377" i="3" s="1"/>
  <c r="E408" i="3"/>
  <c r="D319" i="3"/>
  <c r="D318" i="3"/>
  <c r="E407" i="3"/>
  <c r="G377" i="3"/>
  <c r="L377" i="3" s="1"/>
  <c r="G376" i="3"/>
  <c r="L376" i="3" s="1"/>
  <c r="G374" i="3"/>
  <c r="L374" i="3" s="1"/>
  <c r="G370" i="3"/>
  <c r="L370" i="3" s="1"/>
  <c r="K369" i="3"/>
  <c r="J280" i="3"/>
  <c r="G202" i="3"/>
  <c r="E245" i="3" s="1"/>
  <c r="P245" i="3" s="1"/>
  <c r="D232" i="3"/>
  <c r="D231" i="3"/>
  <c r="J285" i="3"/>
  <c r="E261" i="3"/>
  <c r="E256" i="3"/>
  <c r="G371" i="3"/>
  <c r="K370" i="3"/>
  <c r="J281" i="3"/>
  <c r="P157" i="3"/>
  <c r="P175" i="3" s="1"/>
  <c r="M192" i="3"/>
  <c r="M193" i="3"/>
  <c r="G217" i="3"/>
  <c r="M206" i="3"/>
  <c r="F206" i="3"/>
  <c r="N175" i="3"/>
  <c r="Y381" i="3" l="1"/>
  <c r="I436" i="3" s="1"/>
  <c r="F174" i="3"/>
  <c r="K373" i="3"/>
  <c r="D193" i="3"/>
  <c r="D192" i="3"/>
  <c r="Y370" i="3"/>
  <c r="AD370" i="3" s="1"/>
  <c r="AF371" i="3" s="1"/>
  <c r="V281" i="3"/>
  <c r="O293" i="3"/>
  <c r="Q294" i="3" s="1"/>
  <c r="H437" i="3"/>
  <c r="Q373" i="3"/>
  <c r="S374" i="3" s="1"/>
  <c r="Y374" i="3" s="1"/>
  <c r="AD374" i="3" s="1"/>
  <c r="AF375" i="3" s="1"/>
  <c r="AL375" i="3" s="1"/>
  <c r="G428" i="3"/>
  <c r="Q370" i="3"/>
  <c r="S371" i="3" s="1"/>
  <c r="G425" i="3"/>
  <c r="Q377" i="3"/>
  <c r="S378" i="3" s="1"/>
  <c r="Y378" i="3" s="1"/>
  <c r="AD378" i="3" s="1"/>
  <c r="AF379" i="3" s="1"/>
  <c r="AL379" i="3" s="1"/>
  <c r="G432" i="3"/>
  <c r="O287" i="3"/>
  <c r="Q288" i="3" s="1"/>
  <c r="H431" i="3"/>
  <c r="O284" i="3"/>
  <c r="Q285" i="3" s="1"/>
  <c r="H428" i="3"/>
  <c r="Q374" i="3"/>
  <c r="S375" i="3" s="1"/>
  <c r="Y375" i="3" s="1"/>
  <c r="I430" i="3" s="1"/>
  <c r="G429" i="3"/>
  <c r="O285" i="3"/>
  <c r="H429" i="3"/>
  <c r="O286" i="3"/>
  <c r="Q287" i="3" s="1"/>
  <c r="H430" i="3"/>
  <c r="Q383" i="3"/>
  <c r="G438" i="3"/>
  <c r="K375" i="3"/>
  <c r="Q376" i="3"/>
  <c r="S377" i="3" s="1"/>
  <c r="Y377" i="3" s="1"/>
  <c r="G431" i="3"/>
  <c r="Q379" i="3"/>
  <c r="S380" i="3" s="1"/>
  <c r="Y380" i="3" s="1"/>
  <c r="G434" i="3"/>
  <c r="X370" i="3"/>
  <c r="BE341" i="3"/>
  <c r="AS341" i="3"/>
  <c r="AT375" i="3" s="1"/>
  <c r="AC253" i="3"/>
  <c r="Q253" i="3"/>
  <c r="R287" i="3" s="1"/>
  <c r="F256" i="3"/>
  <c r="G290" i="3" s="1"/>
  <c r="K290" i="3" s="1"/>
  <c r="P256" i="3"/>
  <c r="AC251" i="3"/>
  <c r="Q251" i="3"/>
  <c r="R285" i="3" s="1"/>
  <c r="AE339" i="3"/>
  <c r="S339" i="3"/>
  <c r="T373" i="3" s="1"/>
  <c r="AR336" i="3"/>
  <c r="AF336" i="3"/>
  <c r="AG370" i="3" s="1"/>
  <c r="AR350" i="3"/>
  <c r="AF350" i="3"/>
  <c r="AG384" i="3" s="1"/>
  <c r="AC245" i="3"/>
  <c r="Q245" i="3"/>
  <c r="R279" i="3" s="1"/>
  <c r="F261" i="3"/>
  <c r="G295" i="3" s="1"/>
  <c r="K295" i="3" s="1"/>
  <c r="H439" i="3" s="1"/>
  <c r="P261" i="3"/>
  <c r="Q286" i="3"/>
  <c r="AC254" i="3"/>
  <c r="Q254" i="3"/>
  <c r="R288" i="3" s="1"/>
  <c r="AC250" i="3"/>
  <c r="Q250" i="3"/>
  <c r="R284" i="3" s="1"/>
  <c r="J287" i="3"/>
  <c r="AR343" i="3"/>
  <c r="AF343" i="3"/>
  <c r="AG377" i="3" s="1"/>
  <c r="AR335" i="3"/>
  <c r="AF335" i="3"/>
  <c r="AG369" i="3" s="1"/>
  <c r="BC246" i="3"/>
  <c r="AQ246" i="3"/>
  <c r="AR280" i="3" s="1"/>
  <c r="AF346" i="3"/>
  <c r="AG380" i="3" s="1"/>
  <c r="AR346" i="3"/>
  <c r="G378" i="3"/>
  <c r="L378" i="3" s="1"/>
  <c r="O288" i="3"/>
  <c r="Q289" i="3" s="1"/>
  <c r="W289" i="3" s="1"/>
  <c r="BE345" i="3"/>
  <c r="AS345" i="3"/>
  <c r="AT379" i="3" s="1"/>
  <c r="AR340" i="3"/>
  <c r="AF340" i="3"/>
  <c r="AG374" i="3" s="1"/>
  <c r="AC252" i="3"/>
  <c r="Q252" i="3"/>
  <c r="R286" i="3" s="1"/>
  <c r="I431" i="3"/>
  <c r="AD376" i="3"/>
  <c r="AF377" i="3" s="1"/>
  <c r="AC258" i="3"/>
  <c r="Q258" i="3"/>
  <c r="R292" i="3" s="1"/>
  <c r="AD375" i="3"/>
  <c r="AF376" i="3" s="1"/>
  <c r="BC247" i="3"/>
  <c r="AQ247" i="3"/>
  <c r="AR281" i="3" s="1"/>
  <c r="AR347" i="3"/>
  <c r="AF347" i="3"/>
  <c r="AG381" i="3" s="1"/>
  <c r="AC259" i="3"/>
  <c r="Q259" i="3"/>
  <c r="R293" i="3" s="1"/>
  <c r="AR342" i="3"/>
  <c r="AF342" i="3"/>
  <c r="AG376" i="3" s="1"/>
  <c r="AR334" i="3"/>
  <c r="AF334" i="3"/>
  <c r="AG368" i="3" s="1"/>
  <c r="G382" i="3"/>
  <c r="L382" i="3" s="1"/>
  <c r="O292" i="3"/>
  <c r="Q293" i="3" s="1"/>
  <c r="AR348" i="3"/>
  <c r="AF348" i="3"/>
  <c r="AG382" i="3" s="1"/>
  <c r="AC257" i="3"/>
  <c r="Q257" i="3"/>
  <c r="R291" i="3" s="1"/>
  <c r="AR344" i="3"/>
  <c r="AF344" i="3"/>
  <c r="AG378" i="3" s="1"/>
  <c r="AE349" i="3"/>
  <c r="S349" i="3"/>
  <c r="T383" i="3" s="1"/>
  <c r="AB281" i="3"/>
  <c r="J425" i="3"/>
  <c r="AP255" i="3"/>
  <c r="AD255" i="3"/>
  <c r="AE289" i="3" s="1"/>
  <c r="G381" i="3"/>
  <c r="L381" i="3" s="1"/>
  <c r="O291" i="3"/>
  <c r="Q292" i="3" s="1"/>
  <c r="D269" i="3"/>
  <c r="D268" i="3"/>
  <c r="F245" i="3"/>
  <c r="G279" i="3" s="1"/>
  <c r="E260" i="3"/>
  <c r="L201" i="3"/>
  <c r="H174" i="3"/>
  <c r="F201" i="3"/>
  <c r="E219" i="3"/>
  <c r="G206" i="3"/>
  <c r="E249" i="3" s="1"/>
  <c r="G205" i="3"/>
  <c r="E248" i="3" s="1"/>
  <c r="N206" i="3"/>
  <c r="N205" i="3"/>
  <c r="AD381" i="3" l="1"/>
  <c r="AF382" i="3" s="1"/>
  <c r="I433" i="3"/>
  <c r="I425" i="3"/>
  <c r="W285" i="3"/>
  <c r="X374" i="3" s="1"/>
  <c r="W287" i="3"/>
  <c r="X376" i="3" s="1"/>
  <c r="I429" i="3"/>
  <c r="AD377" i="3"/>
  <c r="AF378" i="3" s="1"/>
  <c r="AL378" i="3" s="1"/>
  <c r="I432" i="3"/>
  <c r="Q381" i="3"/>
  <c r="S382" i="3" s="1"/>
  <c r="Y382" i="3" s="1"/>
  <c r="I437" i="3" s="1"/>
  <c r="G436" i="3"/>
  <c r="Q378" i="3"/>
  <c r="S379" i="3" s="1"/>
  <c r="Y379" i="3" s="1"/>
  <c r="I434" i="3" s="1"/>
  <c r="G433" i="3"/>
  <c r="O290" i="3"/>
  <c r="Q291" i="3" s="1"/>
  <c r="W291" i="3" s="1"/>
  <c r="H434" i="3"/>
  <c r="Q382" i="3"/>
  <c r="S383" i="3" s="1"/>
  <c r="Y383" i="3" s="1"/>
  <c r="G437" i="3"/>
  <c r="AQ379" i="3"/>
  <c r="AS380" i="3" s="1"/>
  <c r="K434" i="3"/>
  <c r="AP253" i="3"/>
  <c r="AD253" i="3"/>
  <c r="AE287" i="3" s="1"/>
  <c r="F260" i="3"/>
  <c r="G294" i="3" s="1"/>
  <c r="K294" i="3" s="1"/>
  <c r="P260" i="3"/>
  <c r="I435" i="3"/>
  <c r="AD380" i="3"/>
  <c r="AF381" i="3" s="1"/>
  <c r="AL381" i="3" s="1"/>
  <c r="AP257" i="3"/>
  <c r="AD257" i="3"/>
  <c r="AE291" i="3" s="1"/>
  <c r="BE334" i="3"/>
  <c r="AS334" i="3"/>
  <c r="AT368" i="3" s="1"/>
  <c r="BP247" i="3"/>
  <c r="BQ247" i="3" s="1"/>
  <c r="BR281" i="3" s="1"/>
  <c r="BD247" i="3"/>
  <c r="BE281" i="3" s="1"/>
  <c r="BP246" i="3"/>
  <c r="BQ246" i="3" s="1"/>
  <c r="BR280" i="3" s="1"/>
  <c r="BD246" i="3"/>
  <c r="BE280" i="3" s="1"/>
  <c r="BE336" i="3"/>
  <c r="AS336" i="3"/>
  <c r="AT370" i="3" s="1"/>
  <c r="AL376" i="3"/>
  <c r="BR345" i="3"/>
  <c r="BS345" i="3" s="1"/>
  <c r="BT379" i="3" s="1"/>
  <c r="BF345" i="3"/>
  <c r="BG379" i="3" s="1"/>
  <c r="AS335" i="3"/>
  <c r="AT369" i="3" s="1"/>
  <c r="BE335" i="3"/>
  <c r="AP254" i="3"/>
  <c r="AD254" i="3"/>
  <c r="AE288" i="3" s="1"/>
  <c r="AQ375" i="3"/>
  <c r="AS376" i="3" s="1"/>
  <c r="K430" i="3"/>
  <c r="AR339" i="3"/>
  <c r="AF339" i="3"/>
  <c r="AG373" i="3" s="1"/>
  <c r="BR341" i="3"/>
  <c r="BS341" i="3" s="1"/>
  <c r="BT375" i="3" s="1"/>
  <c r="BF341" i="3"/>
  <c r="BG375" i="3" s="1"/>
  <c r="AD282" i="3"/>
  <c r="AS342" i="3"/>
  <c r="AT376" i="3" s="1"/>
  <c r="BE342" i="3"/>
  <c r="AP252" i="3"/>
  <c r="AD252" i="3"/>
  <c r="AE286" i="3" s="1"/>
  <c r="AB289" i="3"/>
  <c r="AD290" i="3" s="1"/>
  <c r="J433" i="3"/>
  <c r="G384" i="3"/>
  <c r="L384" i="3" s="1"/>
  <c r="O295" i="3"/>
  <c r="AL382" i="3"/>
  <c r="AP250" i="3"/>
  <c r="AD250" i="3"/>
  <c r="AE284" i="3" s="1"/>
  <c r="F338" i="3"/>
  <c r="W292" i="3"/>
  <c r="BE348" i="3"/>
  <c r="AS348" i="3"/>
  <c r="AT382" i="3" s="1"/>
  <c r="AP259" i="3"/>
  <c r="AD259" i="3"/>
  <c r="AE293" i="3" s="1"/>
  <c r="AP258" i="3"/>
  <c r="AD258" i="3"/>
  <c r="AE292" i="3" s="1"/>
  <c r="BE346" i="3"/>
  <c r="AS346" i="3"/>
  <c r="AT380" i="3" s="1"/>
  <c r="W286" i="3"/>
  <c r="W288" i="3"/>
  <c r="AC256" i="3"/>
  <c r="Q256" i="3"/>
  <c r="R290" i="3" s="1"/>
  <c r="W290" i="3" s="1"/>
  <c r="AQ255" i="3"/>
  <c r="AR289" i="3" s="1"/>
  <c r="BC255" i="3"/>
  <c r="BE340" i="3"/>
  <c r="AS340" i="3"/>
  <c r="AT374" i="3" s="1"/>
  <c r="F249" i="3"/>
  <c r="G283" i="3" s="1"/>
  <c r="K283" i="3" s="1"/>
  <c r="K372" i="3" s="1"/>
  <c r="P249" i="3"/>
  <c r="AP245" i="3"/>
  <c r="AD245" i="3"/>
  <c r="AE279" i="3" s="1"/>
  <c r="AR349" i="3"/>
  <c r="AF349" i="3"/>
  <c r="AG383" i="3" s="1"/>
  <c r="W293" i="3"/>
  <c r="AL377" i="3"/>
  <c r="J429" i="3"/>
  <c r="BE350" i="3"/>
  <c r="AS350" i="3"/>
  <c r="AT384" i="3" s="1"/>
  <c r="F337" i="3"/>
  <c r="F248" i="3"/>
  <c r="G282" i="3" s="1"/>
  <c r="K282" i="3" s="1"/>
  <c r="P248" i="3"/>
  <c r="BE343" i="3"/>
  <c r="AS343" i="3"/>
  <c r="AT377" i="3" s="1"/>
  <c r="AS344" i="3"/>
  <c r="AT378" i="3" s="1"/>
  <c r="BE344" i="3"/>
  <c r="BE347" i="3"/>
  <c r="AS347" i="3"/>
  <c r="AT381" i="3" s="1"/>
  <c r="AC261" i="3"/>
  <c r="Q261" i="3"/>
  <c r="R295" i="3" s="1"/>
  <c r="AP251" i="3"/>
  <c r="AD251" i="3"/>
  <c r="AE285" i="3" s="1"/>
  <c r="D312" i="3"/>
  <c r="K279" i="3"/>
  <c r="D313" i="3"/>
  <c r="G201" i="3"/>
  <c r="E244" i="3" s="1"/>
  <c r="M201" i="3"/>
  <c r="L219" i="3"/>
  <c r="AD382" i="3" l="1"/>
  <c r="AF383" i="3" s="1"/>
  <c r="AL383" i="3" s="1"/>
  <c r="V287" i="3"/>
  <c r="AB287" i="3"/>
  <c r="J431" i="3"/>
  <c r="V285" i="3"/>
  <c r="AB285" i="3"/>
  <c r="AD286" i="3" s="1"/>
  <c r="AJ286" i="3" s="1"/>
  <c r="AD379" i="3"/>
  <c r="AF380" i="3" s="1"/>
  <c r="AL380" i="3" s="1"/>
  <c r="K435" i="3" s="1"/>
  <c r="J283" i="3"/>
  <c r="O283" i="3"/>
  <c r="Q284" i="3" s="1"/>
  <c r="W284" i="3" s="1"/>
  <c r="H427" i="3"/>
  <c r="Q384" i="3"/>
  <c r="S384" i="3" s="1"/>
  <c r="Y384" i="3" s="1"/>
  <c r="I439" i="3" s="1"/>
  <c r="G439" i="3"/>
  <c r="O282" i="3"/>
  <c r="Q283" i="3" s="1"/>
  <c r="H426" i="3"/>
  <c r="O279" i="3"/>
  <c r="Q280" i="3" s="1"/>
  <c r="W280" i="3" s="1"/>
  <c r="AB280" i="3" s="1"/>
  <c r="H423" i="3"/>
  <c r="O294" i="3"/>
  <c r="Q295" i="3" s="1"/>
  <c r="W295" i="3" s="1"/>
  <c r="H438" i="3"/>
  <c r="BR350" i="3"/>
  <c r="BS350" i="3" s="1"/>
  <c r="BT384" i="3" s="1"/>
  <c r="BF350" i="3"/>
  <c r="BG384" i="3" s="1"/>
  <c r="BC245" i="3"/>
  <c r="AQ245" i="3"/>
  <c r="AR279" i="3" s="1"/>
  <c r="BC258" i="3"/>
  <c r="AQ258" i="3"/>
  <c r="AR292" i="3" s="1"/>
  <c r="BC254" i="3"/>
  <c r="AQ254" i="3"/>
  <c r="AR288" i="3" s="1"/>
  <c r="AQ381" i="3"/>
  <c r="AS382" i="3" s="1"/>
  <c r="AY382" i="3" s="1"/>
  <c r="K436" i="3"/>
  <c r="AC248" i="3"/>
  <c r="Q248" i="3"/>
  <c r="R282" i="3" s="1"/>
  <c r="W282" i="3" s="1"/>
  <c r="AP256" i="3"/>
  <c r="AD256" i="3"/>
  <c r="AE290" i="3" s="1"/>
  <c r="AJ290" i="3" s="1"/>
  <c r="BC259" i="3"/>
  <c r="AQ259" i="3"/>
  <c r="AR293" i="3" s="1"/>
  <c r="K437" i="3"/>
  <c r="AQ382" i="3"/>
  <c r="AS383" i="3" s="1"/>
  <c r="BC252" i="3"/>
  <c r="AQ252" i="3"/>
  <c r="AR286" i="3" s="1"/>
  <c r="AC260" i="3"/>
  <c r="Q260" i="3"/>
  <c r="R294" i="3" s="1"/>
  <c r="W294" i="3" s="1"/>
  <c r="AB290" i="3"/>
  <c r="AD291" i="3" s="1"/>
  <c r="AJ291" i="3" s="1"/>
  <c r="J434" i="3"/>
  <c r="AQ377" i="3"/>
  <c r="AS378" i="3" s="1"/>
  <c r="AY378" i="3" s="1"/>
  <c r="K432" i="3"/>
  <c r="AC249" i="3"/>
  <c r="Q249" i="3"/>
  <c r="R283" i="3" s="1"/>
  <c r="AB288" i="3"/>
  <c r="AD289" i="3" s="1"/>
  <c r="AJ289" i="3" s="1"/>
  <c r="J432" i="3"/>
  <c r="AQ378" i="3"/>
  <c r="AS379" i="3" s="1"/>
  <c r="AY379" i="3" s="1"/>
  <c r="K433" i="3"/>
  <c r="BF342" i="3"/>
  <c r="BG376" i="3" s="1"/>
  <c r="BR342" i="3"/>
  <c r="BS342" i="3" s="1"/>
  <c r="BT376" i="3" s="1"/>
  <c r="BR335" i="3"/>
  <c r="BS335" i="3" s="1"/>
  <c r="BT369" i="3" s="1"/>
  <c r="BF335" i="3"/>
  <c r="BG369" i="3" s="1"/>
  <c r="J437" i="3"/>
  <c r="AB293" i="3"/>
  <c r="AD294" i="3" s="1"/>
  <c r="AB286" i="3"/>
  <c r="J430" i="3"/>
  <c r="V286" i="3"/>
  <c r="X375" i="3"/>
  <c r="BR348" i="3"/>
  <c r="BS348" i="3" s="1"/>
  <c r="BT382" i="3" s="1"/>
  <c r="BF348" i="3"/>
  <c r="BG382" i="3" s="1"/>
  <c r="BE339" i="3"/>
  <c r="AS339" i="3"/>
  <c r="AT373" i="3" s="1"/>
  <c r="AP261" i="3"/>
  <c r="AD261" i="3"/>
  <c r="AE295" i="3" s="1"/>
  <c r="AD288" i="3"/>
  <c r="AJ288" i="3" s="1"/>
  <c r="J436" i="3"/>
  <c r="AB292" i="3"/>
  <c r="AD293" i="3" s="1"/>
  <c r="AJ293" i="3" s="1"/>
  <c r="AD384" i="3"/>
  <c r="AQ376" i="3"/>
  <c r="AS377" i="3" s="1"/>
  <c r="AY377" i="3" s="1"/>
  <c r="K431" i="3"/>
  <c r="BR334" i="3"/>
  <c r="BS334" i="3" s="1"/>
  <c r="BT368" i="3" s="1"/>
  <c r="BF334" i="3"/>
  <c r="BG368" i="3" s="1"/>
  <c r="BC253" i="3"/>
  <c r="AQ253" i="3"/>
  <c r="AR287" i="3" s="1"/>
  <c r="BR343" i="3"/>
  <c r="BS343" i="3" s="1"/>
  <c r="BT377" i="3" s="1"/>
  <c r="BF343" i="3"/>
  <c r="BG377" i="3" s="1"/>
  <c r="BC250" i="3"/>
  <c r="AQ250" i="3"/>
  <c r="AR284" i="3" s="1"/>
  <c r="BR344" i="3"/>
  <c r="BS344" i="3" s="1"/>
  <c r="BT378" i="3" s="1"/>
  <c r="BF344" i="3"/>
  <c r="BG378" i="3" s="1"/>
  <c r="R337" i="3"/>
  <c r="G337" i="3"/>
  <c r="H371" i="3" s="1"/>
  <c r="L371" i="3" s="1"/>
  <c r="AS349" i="3"/>
  <c r="AT383" i="3" s="1"/>
  <c r="BE349" i="3"/>
  <c r="BR346" i="3"/>
  <c r="BS346" i="3" s="1"/>
  <c r="BT380" i="3" s="1"/>
  <c r="BF346" i="3"/>
  <c r="BG380" i="3" s="1"/>
  <c r="R338" i="3"/>
  <c r="G338" i="3"/>
  <c r="H372" i="3" s="1"/>
  <c r="L372" i="3" s="1"/>
  <c r="AY376" i="3"/>
  <c r="BR347" i="3"/>
  <c r="BS347" i="3" s="1"/>
  <c r="BT381" i="3" s="1"/>
  <c r="BF347" i="3"/>
  <c r="BG381" i="3" s="1"/>
  <c r="AD383" i="3"/>
  <c r="I438" i="3"/>
  <c r="F244" i="3"/>
  <c r="G278" i="3" s="1"/>
  <c r="G296" i="3" s="1"/>
  <c r="P244" i="3"/>
  <c r="BC251" i="3"/>
  <c r="AQ251" i="3"/>
  <c r="AR285" i="3" s="1"/>
  <c r="AB291" i="3"/>
  <c r="AD292" i="3" s="1"/>
  <c r="AJ292" i="3" s="1"/>
  <c r="J435" i="3"/>
  <c r="BR340" i="3"/>
  <c r="BS340" i="3" s="1"/>
  <c r="BT374" i="3" s="1"/>
  <c r="BF340" i="3"/>
  <c r="BG374" i="3" s="1"/>
  <c r="BP255" i="3"/>
  <c r="BQ255" i="3" s="1"/>
  <c r="BR289" i="3" s="1"/>
  <c r="BD255" i="3"/>
  <c r="BE289" i="3" s="1"/>
  <c r="BR336" i="3"/>
  <c r="BS336" i="3" s="1"/>
  <c r="BT370" i="3" s="1"/>
  <c r="BF336" i="3"/>
  <c r="BG370" i="3" s="1"/>
  <c r="BC257" i="3"/>
  <c r="AQ257" i="3"/>
  <c r="AR291" i="3" s="1"/>
  <c r="AY380" i="3"/>
  <c r="K371" i="3"/>
  <c r="K385" i="3" s="1"/>
  <c r="G367" i="3" s="1"/>
  <c r="J282" i="3"/>
  <c r="N201" i="3"/>
  <c r="F333" i="3" s="1"/>
  <c r="J29" i="2"/>
  <c r="I29" i="2"/>
  <c r="H29" i="2"/>
  <c r="G29" i="2"/>
  <c r="AQ380" i="3" l="1"/>
  <c r="AS381" i="3" s="1"/>
  <c r="AY381" i="3" s="1"/>
  <c r="J296" i="3"/>
  <c r="D324" i="3" s="1"/>
  <c r="X369" i="3"/>
  <c r="V280" i="3"/>
  <c r="AF384" i="3"/>
  <c r="AL384" i="3" s="1"/>
  <c r="AY383" i="3"/>
  <c r="BD383" i="3" s="1"/>
  <c r="V282" i="3"/>
  <c r="J424" i="3"/>
  <c r="F262" i="3"/>
  <c r="Q371" i="3"/>
  <c r="S372" i="3" s="1"/>
  <c r="G426" i="3"/>
  <c r="Q372" i="3"/>
  <c r="S373" i="3" s="1"/>
  <c r="Y373" i="3" s="1"/>
  <c r="AD373" i="3" s="1"/>
  <c r="AF374" i="3" s="1"/>
  <c r="AL374" i="3" s="1"/>
  <c r="G427" i="3"/>
  <c r="W283" i="3"/>
  <c r="V283" i="3" s="1"/>
  <c r="BD376" i="3"/>
  <c r="BF377" i="3" s="1"/>
  <c r="BL377" i="3" s="1"/>
  <c r="M431" i="3"/>
  <c r="L437" i="3"/>
  <c r="AO293" i="3"/>
  <c r="AQ294" i="3" s="1"/>
  <c r="BF339" i="3"/>
  <c r="BG373" i="3" s="1"/>
  <c r="BR339" i="3"/>
  <c r="BS339" i="3" s="1"/>
  <c r="BT373" i="3" s="1"/>
  <c r="AB284" i="3"/>
  <c r="J428" i="3"/>
  <c r="X373" i="3"/>
  <c r="V284" i="3"/>
  <c r="X371" i="3"/>
  <c r="AB282" i="3"/>
  <c r="J426" i="3"/>
  <c r="BP254" i="3"/>
  <c r="BQ254" i="3" s="1"/>
  <c r="BR288" i="3" s="1"/>
  <c r="BD254" i="3"/>
  <c r="BE288" i="3" s="1"/>
  <c r="M434" i="3"/>
  <c r="BD379" i="3"/>
  <c r="BF380" i="3" s="1"/>
  <c r="BL380" i="3" s="1"/>
  <c r="M435" i="3"/>
  <c r="BD380" i="3"/>
  <c r="BF381" i="3" s="1"/>
  <c r="BL381" i="3" s="1"/>
  <c r="R333" i="3"/>
  <c r="G333" i="3"/>
  <c r="AE338" i="3"/>
  <c r="S338" i="3"/>
  <c r="T372" i="3" s="1"/>
  <c r="AO289" i="3"/>
  <c r="AQ290" i="3" s="1"/>
  <c r="L433" i="3"/>
  <c r="AO291" i="3"/>
  <c r="AQ292" i="3" s="1"/>
  <c r="AW292" i="3" s="1"/>
  <c r="L435" i="3"/>
  <c r="BP259" i="3"/>
  <c r="BQ259" i="3" s="1"/>
  <c r="BR293" i="3" s="1"/>
  <c r="BD259" i="3"/>
  <c r="BE293" i="3" s="1"/>
  <c r="BP258" i="3"/>
  <c r="BQ258" i="3" s="1"/>
  <c r="BR292" i="3" s="1"/>
  <c r="BD258" i="3"/>
  <c r="BE292" i="3" s="1"/>
  <c r="J438" i="3"/>
  <c r="AB294" i="3"/>
  <c r="AK375" i="3"/>
  <c r="AO286" i="3"/>
  <c r="L430" i="3"/>
  <c r="BP253" i="3"/>
  <c r="BQ253" i="3" s="1"/>
  <c r="BR287" i="3" s="1"/>
  <c r="BD253" i="3"/>
  <c r="BE287" i="3" s="1"/>
  <c r="AC244" i="3"/>
  <c r="Q244" i="3"/>
  <c r="AQ384" i="3"/>
  <c r="K439" i="3"/>
  <c r="BP250" i="3"/>
  <c r="BQ250" i="3" s="1"/>
  <c r="BR284" i="3" s="1"/>
  <c r="BD250" i="3"/>
  <c r="BE284" i="3" s="1"/>
  <c r="M432" i="3"/>
  <c r="BD377" i="3"/>
  <c r="BF378" i="3" s="1"/>
  <c r="BL378" i="3" s="1"/>
  <c r="AB295" i="3"/>
  <c r="J439" i="3"/>
  <c r="AP249" i="3"/>
  <c r="AD249" i="3"/>
  <c r="AE283" i="3" s="1"/>
  <c r="AD260" i="3"/>
  <c r="AE294" i="3" s="1"/>
  <c r="AJ294" i="3" s="1"/>
  <c r="AP260" i="3"/>
  <c r="BC256" i="3"/>
  <c r="AQ256" i="3"/>
  <c r="AR290" i="3" s="1"/>
  <c r="BP245" i="3"/>
  <c r="BQ245" i="3" s="1"/>
  <c r="BR279" i="3" s="1"/>
  <c r="BD245" i="3"/>
  <c r="BE279" i="3" s="1"/>
  <c r="L434" i="3"/>
  <c r="AO290" i="3"/>
  <c r="AQ291" i="3" s="1"/>
  <c r="AW291" i="3" s="1"/>
  <c r="BR349" i="3"/>
  <c r="BS349" i="3" s="1"/>
  <c r="BT383" i="3" s="1"/>
  <c r="BF349" i="3"/>
  <c r="BG383" i="3" s="1"/>
  <c r="BC261" i="3"/>
  <c r="AQ261" i="3"/>
  <c r="AR295" i="3" s="1"/>
  <c r="AD287" i="3"/>
  <c r="AJ287" i="3" s="1"/>
  <c r="AI286" i="3"/>
  <c r="BD382" i="3"/>
  <c r="BF383" i="3" s="1"/>
  <c r="M437" i="3"/>
  <c r="BP251" i="3"/>
  <c r="BQ251" i="3" s="1"/>
  <c r="BR285" i="3" s="1"/>
  <c r="BD251" i="3"/>
  <c r="BE285" i="3" s="1"/>
  <c r="S337" i="3"/>
  <c r="T371" i="3" s="1"/>
  <c r="Y371" i="3" s="1"/>
  <c r="AE337" i="3"/>
  <c r="AP248" i="3"/>
  <c r="AD248" i="3"/>
  <c r="AE282" i="3" s="1"/>
  <c r="AJ282" i="3" s="1"/>
  <c r="BP257" i="3"/>
  <c r="BQ257" i="3" s="1"/>
  <c r="BR291" i="3" s="1"/>
  <c r="BD257" i="3"/>
  <c r="BE291" i="3" s="1"/>
  <c r="AD281" i="3"/>
  <c r="AJ281" i="3" s="1"/>
  <c r="L432" i="3"/>
  <c r="AO288" i="3"/>
  <c r="AQ289" i="3" s="1"/>
  <c r="AW289" i="3" s="1"/>
  <c r="K438" i="3"/>
  <c r="AQ383" i="3"/>
  <c r="L436" i="3"/>
  <c r="AO292" i="3"/>
  <c r="AQ293" i="3" s="1"/>
  <c r="AW293" i="3" s="1"/>
  <c r="M433" i="3"/>
  <c r="BD378" i="3"/>
  <c r="BF379" i="3" s="1"/>
  <c r="BL379" i="3" s="1"/>
  <c r="BD252" i="3"/>
  <c r="BE286" i="3" s="1"/>
  <c r="BP252" i="3"/>
  <c r="BQ252" i="3" s="1"/>
  <c r="BR286" i="3" s="1"/>
  <c r="M436" i="3"/>
  <c r="BD381" i="3"/>
  <c r="BF382" i="3" s="1"/>
  <c r="BL382" i="3" s="1"/>
  <c r="F278" i="3"/>
  <c r="K278" i="3" s="1"/>
  <c r="D325" i="3"/>
  <c r="X372" i="3" l="1"/>
  <c r="X385" i="3" s="1"/>
  <c r="S367" i="3" s="1"/>
  <c r="S385" i="3" s="1"/>
  <c r="M438" i="3"/>
  <c r="Y372" i="3"/>
  <c r="I428" i="3"/>
  <c r="AS384" i="3"/>
  <c r="AY384" i="3" s="1"/>
  <c r="M439" i="3" s="1"/>
  <c r="J427" i="3"/>
  <c r="AB283" i="3"/>
  <c r="AD284" i="3" s="1"/>
  <c r="AJ284" i="3" s="1"/>
  <c r="AK373" i="3" s="1"/>
  <c r="O278" i="3"/>
  <c r="Q279" i="3" s="1"/>
  <c r="W279" i="3" s="1"/>
  <c r="H422" i="3"/>
  <c r="H440" i="3" s="1"/>
  <c r="V296" i="3"/>
  <c r="Q278" i="3" s="1"/>
  <c r="AD295" i="3"/>
  <c r="AJ295" i="3" s="1"/>
  <c r="AO295" i="3" s="1"/>
  <c r="AD372" i="3"/>
  <c r="AF373" i="3" s="1"/>
  <c r="AL373" i="3" s="1"/>
  <c r="I427" i="3"/>
  <c r="AP244" i="3"/>
  <c r="AD244" i="3"/>
  <c r="BB293" i="3"/>
  <c r="BD294" i="3" s="1"/>
  <c r="N437" i="3"/>
  <c r="BP256" i="3"/>
  <c r="BQ256" i="3" s="1"/>
  <c r="BR290" i="3" s="1"/>
  <c r="BD256" i="3"/>
  <c r="BE290" i="3" s="1"/>
  <c r="BQ382" i="3"/>
  <c r="BS383" i="3" s="1"/>
  <c r="BY383" i="3" s="1"/>
  <c r="CE382" i="3" s="1"/>
  <c r="O437" i="3"/>
  <c r="BC260" i="3"/>
  <c r="AQ260" i="3"/>
  <c r="AR294" i="3" s="1"/>
  <c r="AW294" i="3" s="1"/>
  <c r="K429" i="3"/>
  <c r="AQ374" i="3"/>
  <c r="AS375" i="3" s="1"/>
  <c r="AY375" i="3" s="1"/>
  <c r="BB291" i="3"/>
  <c r="BD292" i="3" s="1"/>
  <c r="BJ292" i="3" s="1"/>
  <c r="N435" i="3"/>
  <c r="BQ380" i="3"/>
  <c r="BS381" i="3" s="1"/>
  <c r="BY381" i="3" s="1"/>
  <c r="CE380" i="3" s="1"/>
  <c r="O435" i="3"/>
  <c r="BQ378" i="3"/>
  <c r="BS379" i="3" s="1"/>
  <c r="BY379" i="3" s="1"/>
  <c r="CE378" i="3" s="1"/>
  <c r="O433" i="3"/>
  <c r="BL383" i="3"/>
  <c r="AQ287" i="3"/>
  <c r="AW287" i="3" s="1"/>
  <c r="AR338" i="3"/>
  <c r="AF338" i="3"/>
  <c r="AG372" i="3" s="1"/>
  <c r="AK370" i="3"/>
  <c r="L425" i="3"/>
  <c r="AO281" i="3"/>
  <c r="AI281" i="3"/>
  <c r="N433" i="3"/>
  <c r="BB289" i="3"/>
  <c r="BD290" i="3" s="1"/>
  <c r="H367" i="3"/>
  <c r="L367" i="3" s="1"/>
  <c r="G351" i="3"/>
  <c r="BP261" i="3"/>
  <c r="BQ261" i="3" s="1"/>
  <c r="BR295" i="3" s="1"/>
  <c r="BD261" i="3"/>
  <c r="BE295" i="3" s="1"/>
  <c r="AW290" i="3"/>
  <c r="AQ249" i="3"/>
  <c r="AR283" i="3" s="1"/>
  <c r="BC249" i="3"/>
  <c r="BC248" i="3"/>
  <c r="AQ248" i="3"/>
  <c r="AR282" i="3" s="1"/>
  <c r="AE333" i="3"/>
  <c r="S333" i="3"/>
  <c r="AD371" i="3"/>
  <c r="AF372" i="3" s="1"/>
  <c r="I426" i="3"/>
  <c r="AO282" i="3"/>
  <c r="L426" i="3"/>
  <c r="AO294" i="3"/>
  <c r="L438" i="3"/>
  <c r="BQ379" i="3"/>
  <c r="BS380" i="3" s="1"/>
  <c r="BY380" i="3" s="1"/>
  <c r="CE379" i="3" s="1"/>
  <c r="O434" i="3"/>
  <c r="AO287" i="3"/>
  <c r="L431" i="3"/>
  <c r="AI287" i="3"/>
  <c r="AK376" i="3"/>
  <c r="AR337" i="3"/>
  <c r="AF337" i="3"/>
  <c r="AG371" i="3" s="1"/>
  <c r="AL371" i="3" s="1"/>
  <c r="R278" i="3"/>
  <c r="R296" i="3" s="1"/>
  <c r="Q262" i="3"/>
  <c r="O436" i="3"/>
  <c r="BQ381" i="3"/>
  <c r="BS382" i="3" s="1"/>
  <c r="BY382" i="3" s="1"/>
  <c r="CE381" i="3" s="1"/>
  <c r="BQ377" i="3"/>
  <c r="BS378" i="3" s="1"/>
  <c r="BY378" i="3" s="1"/>
  <c r="CE377" i="3" s="1"/>
  <c r="O432" i="3"/>
  <c r="BB292" i="3"/>
  <c r="BD293" i="3" s="1"/>
  <c r="BJ293" i="3" s="1"/>
  <c r="N436" i="3"/>
  <c r="AD283" i="3"/>
  <c r="AJ283" i="3" s="1"/>
  <c r="AK371" i="3"/>
  <c r="AI282" i="3"/>
  <c r="AD285" i="3"/>
  <c r="AJ285" i="3" s="1"/>
  <c r="F296" i="3"/>
  <c r="E413" i="3"/>
  <c r="G368" i="3"/>
  <c r="K296" i="3"/>
  <c r="AK372" i="3" l="1"/>
  <c r="BD384" i="3"/>
  <c r="BF384" i="3" s="1"/>
  <c r="BL384" i="3" s="1"/>
  <c r="O439" i="3" s="1"/>
  <c r="O296" i="3"/>
  <c r="E414" i="3"/>
  <c r="H385" i="3"/>
  <c r="Q367" i="3"/>
  <c r="Q385" i="3" s="1"/>
  <c r="G422" i="3"/>
  <c r="L439" i="3"/>
  <c r="AL372" i="3"/>
  <c r="AQ372" i="3" s="1"/>
  <c r="AS373" i="3" s="1"/>
  <c r="AY373" i="3" s="1"/>
  <c r="BB294" i="3"/>
  <c r="N438" i="3"/>
  <c r="L427" i="3"/>
  <c r="AO283" i="3"/>
  <c r="AQ288" i="3"/>
  <c r="AW288" i="3" s="1"/>
  <c r="AV287" i="3"/>
  <c r="AQ244" i="3"/>
  <c r="BC244" i="3"/>
  <c r="AQ371" i="3"/>
  <c r="AS372" i="3" s="1"/>
  <c r="K426" i="3"/>
  <c r="T367" i="3"/>
  <c r="S351" i="3"/>
  <c r="BE337" i="3"/>
  <c r="AS337" i="3"/>
  <c r="AT371" i="3" s="1"/>
  <c r="BE338" i="3"/>
  <c r="AS338" i="3"/>
  <c r="AT372" i="3" s="1"/>
  <c r="CF380" i="3"/>
  <c r="Q436" i="3"/>
  <c r="H462" i="3" s="1"/>
  <c r="BP260" i="3"/>
  <c r="BQ260" i="3" s="1"/>
  <c r="BR294" i="3" s="1"/>
  <c r="BD260" i="3"/>
  <c r="BE294" i="3" s="1"/>
  <c r="BJ294" i="3" s="1"/>
  <c r="BD375" i="3"/>
  <c r="BF376" i="3" s="1"/>
  <c r="BL376" i="3" s="1"/>
  <c r="M430" i="3"/>
  <c r="CF379" i="3"/>
  <c r="Q435" i="3"/>
  <c r="H461" i="3" s="1"/>
  <c r="Q433" i="3"/>
  <c r="H459" i="3" s="1"/>
  <c r="CF377" i="3"/>
  <c r="AQ295" i="3"/>
  <c r="AW295" i="3" s="1"/>
  <c r="BP248" i="3"/>
  <c r="BQ248" i="3" s="1"/>
  <c r="BR282" i="3" s="1"/>
  <c r="BD248" i="3"/>
  <c r="BE282" i="3" s="1"/>
  <c r="BJ290" i="3"/>
  <c r="AQ373" i="3"/>
  <c r="AS374" i="3" s="1"/>
  <c r="AY374" i="3" s="1"/>
  <c r="K428" i="3"/>
  <c r="BB290" i="3"/>
  <c r="BD291" i="3" s="1"/>
  <c r="BJ291" i="3" s="1"/>
  <c r="N434" i="3"/>
  <c r="CF378" i="3"/>
  <c r="Q434" i="3"/>
  <c r="H460" i="3" s="1"/>
  <c r="Q437" i="3"/>
  <c r="H463" i="3" s="1"/>
  <c r="CF381" i="3"/>
  <c r="BP249" i="3"/>
  <c r="BQ249" i="3" s="1"/>
  <c r="BR283" i="3" s="1"/>
  <c r="BD249" i="3"/>
  <c r="BE283" i="3" s="1"/>
  <c r="AX376" i="3"/>
  <c r="BB287" i="3"/>
  <c r="N431" i="3"/>
  <c r="BO292" i="3"/>
  <c r="BQ293" i="3" s="1"/>
  <c r="BW293" i="3" s="1"/>
  <c r="CC292" i="3" s="1"/>
  <c r="P436" i="3"/>
  <c r="Q438" i="3"/>
  <c r="H464" i="3" s="1"/>
  <c r="CF382" i="3"/>
  <c r="W278" i="3"/>
  <c r="AQ282" i="3"/>
  <c r="AW282" i="3" s="1"/>
  <c r="AV282" i="3" s="1"/>
  <c r="AE278" i="3"/>
  <c r="AE296" i="3" s="1"/>
  <c r="AD262" i="3"/>
  <c r="AI284" i="3"/>
  <c r="L428" i="3"/>
  <c r="AO284" i="3"/>
  <c r="P437" i="3"/>
  <c r="BO293" i="3"/>
  <c r="BQ294" i="3" s="1"/>
  <c r="AF333" i="3"/>
  <c r="AR333" i="3"/>
  <c r="AO285" i="3"/>
  <c r="L429" i="3"/>
  <c r="AI285" i="3"/>
  <c r="AK374" i="3"/>
  <c r="AQ283" i="3"/>
  <c r="AW283" i="3" s="1"/>
  <c r="BQ383" i="3"/>
  <c r="O438" i="3"/>
  <c r="AI283" i="3"/>
  <c r="J423" i="3"/>
  <c r="AB279" i="3"/>
  <c r="AD280" i="3" s="1"/>
  <c r="AJ280" i="3" s="1"/>
  <c r="Q296" i="3"/>
  <c r="N298" i="3" s="1"/>
  <c r="E401" i="3"/>
  <c r="E402" i="3"/>
  <c r="L368" i="3"/>
  <c r="G423" i="3" s="1"/>
  <c r="G385" i="3"/>
  <c r="U464" i="3" l="1"/>
  <c r="G23" i="4"/>
  <c r="K464" i="3"/>
  <c r="J23" i="4" s="1"/>
  <c r="U463" i="3"/>
  <c r="G22" i="4"/>
  <c r="K463" i="3"/>
  <c r="J22" i="4" s="1"/>
  <c r="U460" i="3"/>
  <c r="G19" i="4"/>
  <c r="K460" i="3"/>
  <c r="J19" i="4" s="1"/>
  <c r="K462" i="3"/>
  <c r="J21" i="4" s="1"/>
  <c r="U462" i="3"/>
  <c r="G21" i="4"/>
  <c r="U459" i="3"/>
  <c r="K459" i="3"/>
  <c r="J18" i="4" s="1"/>
  <c r="G18" i="4"/>
  <c r="K461" i="3"/>
  <c r="J20" i="4" s="1"/>
  <c r="U461" i="3"/>
  <c r="G20" i="4"/>
  <c r="S368" i="3"/>
  <c r="Y368" i="3" s="1"/>
  <c r="BQ384" i="3"/>
  <c r="K427" i="3"/>
  <c r="G440" i="3"/>
  <c r="BS384" i="3"/>
  <c r="BY384" i="3" s="1"/>
  <c r="CE383" i="3" s="1"/>
  <c r="CF383" i="3" s="1"/>
  <c r="AX371" i="3"/>
  <c r="BW294" i="3"/>
  <c r="CC293" i="3" s="1"/>
  <c r="CD293" i="3" s="1"/>
  <c r="P438" i="3"/>
  <c r="BO294" i="3"/>
  <c r="CD292" i="3"/>
  <c r="R437" i="3"/>
  <c r="I463" i="3" s="1"/>
  <c r="J463" i="3" s="1"/>
  <c r="BQ376" i="3"/>
  <c r="BS377" i="3" s="1"/>
  <c r="BY377" i="3" s="1"/>
  <c r="CE376" i="3" s="1"/>
  <c r="O431" i="3"/>
  <c r="AR278" i="3"/>
  <c r="AR296" i="3" s="1"/>
  <c r="AQ262" i="3"/>
  <c r="BO290" i="3"/>
  <c r="BQ291" i="3" s="1"/>
  <c r="BW291" i="3" s="1"/>
  <c r="CC290" i="3" s="1"/>
  <c r="P434" i="3"/>
  <c r="AX372" i="3"/>
  <c r="BB283" i="3"/>
  <c r="N427" i="3"/>
  <c r="AD368" i="3"/>
  <c r="AF369" i="3" s="1"/>
  <c r="AL369" i="3" s="1"/>
  <c r="I423" i="3"/>
  <c r="BB295" i="3"/>
  <c r="BD295" i="3" s="1"/>
  <c r="BJ295" i="3" s="1"/>
  <c r="N439" i="3"/>
  <c r="P435" i="3"/>
  <c r="BO291" i="3"/>
  <c r="BQ292" i="3" s="1"/>
  <c r="BW292" i="3" s="1"/>
  <c r="CC291" i="3" s="1"/>
  <c r="AQ284" i="3"/>
  <c r="AW284" i="3" s="1"/>
  <c r="AV284" i="3" s="1"/>
  <c r="AV283" i="3"/>
  <c r="AO280" i="3"/>
  <c r="L424" i="3"/>
  <c r="AK369" i="3"/>
  <c r="AK385" i="3" s="1"/>
  <c r="AF367" i="3" s="1"/>
  <c r="AI280" i="3"/>
  <c r="AI296" i="3" s="1"/>
  <c r="AD278" i="3" s="1"/>
  <c r="N426" i="3"/>
  <c r="BB282" i="3"/>
  <c r="BB288" i="3"/>
  <c r="BD289" i="3" s="1"/>
  <c r="BJ289" i="3" s="1"/>
  <c r="N432" i="3"/>
  <c r="L385" i="3"/>
  <c r="Q368" i="3"/>
  <c r="S369" i="3" s="1"/>
  <c r="Y369" i="3" s="1"/>
  <c r="J422" i="3"/>
  <c r="J440" i="3" s="1"/>
  <c r="AB278" i="3"/>
  <c r="W296" i="3"/>
  <c r="T385" i="3"/>
  <c r="Y367" i="3"/>
  <c r="AG367" i="3"/>
  <c r="AG385" i="3" s="1"/>
  <c r="AF351" i="3"/>
  <c r="BP244" i="3"/>
  <c r="BQ244" i="3" s="1"/>
  <c r="BD244" i="3"/>
  <c r="AQ285" i="3"/>
  <c r="AW285" i="3" s="1"/>
  <c r="AX374" i="3" s="1"/>
  <c r="BD288" i="3"/>
  <c r="BJ288" i="3" s="1"/>
  <c r="BR337" i="3"/>
  <c r="BS337" i="3" s="1"/>
  <c r="BT371" i="3" s="1"/>
  <c r="BF337" i="3"/>
  <c r="BG371" i="3" s="1"/>
  <c r="AQ286" i="3"/>
  <c r="AW286" i="3" s="1"/>
  <c r="BD374" i="3"/>
  <c r="BF375" i="3" s="1"/>
  <c r="BL375" i="3" s="1"/>
  <c r="M429" i="3"/>
  <c r="BE333" i="3"/>
  <c r="AS333" i="3"/>
  <c r="BD373" i="3"/>
  <c r="BF374" i="3" s="1"/>
  <c r="BL374" i="3" s="1"/>
  <c r="M428" i="3"/>
  <c r="BF338" i="3"/>
  <c r="BG372" i="3" s="1"/>
  <c r="BR338" i="3"/>
  <c r="BS338" i="3" s="1"/>
  <c r="BT372" i="3" s="1"/>
  <c r="AY372" i="3"/>
  <c r="Q439" i="3" l="1"/>
  <c r="H465" i="3" s="1"/>
  <c r="U465" i="3" s="1"/>
  <c r="M463" i="3"/>
  <c r="L22" i="4" s="1"/>
  <c r="I22" i="4"/>
  <c r="G24" i="4"/>
  <c r="K465" i="3"/>
  <c r="J24" i="4" s="1"/>
  <c r="H22" i="4"/>
  <c r="L463" i="3"/>
  <c r="K22" i="4" s="1"/>
  <c r="V463" i="3"/>
  <c r="R438" i="3"/>
  <c r="I464" i="3" s="1"/>
  <c r="BO288" i="3"/>
  <c r="BQ289" i="3" s="1"/>
  <c r="BW289" i="3" s="1"/>
  <c r="CC288" i="3" s="1"/>
  <c r="P432" i="3"/>
  <c r="I422" i="3"/>
  <c r="Y385" i="3"/>
  <c r="AD367" i="3"/>
  <c r="AQ281" i="3"/>
  <c r="AW281" i="3" s="1"/>
  <c r="AQ369" i="3"/>
  <c r="AS370" i="3" s="1"/>
  <c r="AY370" i="3" s="1"/>
  <c r="K424" i="3"/>
  <c r="BQ375" i="3"/>
  <c r="BS376" i="3" s="1"/>
  <c r="BY376" i="3" s="1"/>
  <c r="CE375" i="3" s="1"/>
  <c r="O430" i="3"/>
  <c r="P433" i="3"/>
  <c r="BO289" i="3"/>
  <c r="BQ290" i="3" s="1"/>
  <c r="BW290" i="3" s="1"/>
  <c r="CC289" i="3" s="1"/>
  <c r="BB285" i="3"/>
  <c r="N429" i="3"/>
  <c r="AB296" i="3"/>
  <c r="AD279" i="3"/>
  <c r="AJ279" i="3" s="1"/>
  <c r="BD283" i="3"/>
  <c r="BJ283" i="3" s="1"/>
  <c r="BI283" i="3" s="1"/>
  <c r="CD291" i="3"/>
  <c r="R436" i="3"/>
  <c r="I462" i="3" s="1"/>
  <c r="CF376" i="3"/>
  <c r="Q432" i="3"/>
  <c r="H458" i="3" s="1"/>
  <c r="N428" i="3"/>
  <c r="BB284" i="3"/>
  <c r="BE278" i="3"/>
  <c r="BE296" i="3" s="1"/>
  <c r="BD262" i="3"/>
  <c r="AX373" i="3"/>
  <c r="AV285" i="3"/>
  <c r="BR278" i="3"/>
  <c r="BR296" i="3" s="1"/>
  <c r="BQ262" i="3"/>
  <c r="AJ278" i="3"/>
  <c r="BD372" i="3"/>
  <c r="BF373" i="3" s="1"/>
  <c r="BL373" i="3" s="1"/>
  <c r="M427" i="3"/>
  <c r="BD284" i="3"/>
  <c r="BJ284" i="3" s="1"/>
  <c r="AT367" i="3"/>
  <c r="AT385" i="3" s="1"/>
  <c r="AS351" i="3"/>
  <c r="AL367" i="3"/>
  <c r="P439" i="3"/>
  <c r="BO295" i="3"/>
  <c r="BQ295" i="3" s="1"/>
  <c r="BW295" i="3" s="1"/>
  <c r="CC294" i="3" s="1"/>
  <c r="AX375" i="3"/>
  <c r="BB286" i="3"/>
  <c r="N430" i="3"/>
  <c r="AV286" i="3"/>
  <c r="BQ374" i="3"/>
  <c r="BS375" i="3" s="1"/>
  <c r="BY375" i="3" s="1"/>
  <c r="CE374" i="3" s="1"/>
  <c r="O429" i="3"/>
  <c r="BR333" i="3"/>
  <c r="BS333" i="3" s="1"/>
  <c r="BF333" i="3"/>
  <c r="I424" i="3"/>
  <c r="AD369" i="3"/>
  <c r="AF370" i="3" s="1"/>
  <c r="AL370" i="3" s="1"/>
  <c r="CD290" i="3"/>
  <c r="R435" i="3"/>
  <c r="I461" i="3" s="1"/>
  <c r="K458" i="3" l="1"/>
  <c r="J17" i="4" s="1"/>
  <c r="U458" i="3"/>
  <c r="G17" i="4"/>
  <c r="H21" i="4"/>
  <c r="L462" i="3"/>
  <c r="K21" i="4" s="1"/>
  <c r="V462" i="3"/>
  <c r="J462" i="3"/>
  <c r="H20" i="4"/>
  <c r="L461" i="3"/>
  <c r="K20" i="4" s="1"/>
  <c r="V461" i="3"/>
  <c r="J461" i="3"/>
  <c r="H23" i="4"/>
  <c r="L464" i="3"/>
  <c r="K23" i="4" s="1"/>
  <c r="V464" i="3"/>
  <c r="J464" i="3"/>
  <c r="I440" i="3"/>
  <c r="AD296" i="3"/>
  <c r="AQ370" i="3"/>
  <c r="AS371" i="3" s="1"/>
  <c r="AY371" i="3" s="1"/>
  <c r="K425" i="3"/>
  <c r="CD289" i="3"/>
  <c r="R434" i="3"/>
  <c r="I460" i="3" s="1"/>
  <c r="BB281" i="3"/>
  <c r="N425" i="3"/>
  <c r="AX370" i="3"/>
  <c r="AV281" i="3"/>
  <c r="BG367" i="3"/>
  <c r="BG385" i="3" s="1"/>
  <c r="BF351" i="3"/>
  <c r="CD294" i="3"/>
  <c r="R439" i="3"/>
  <c r="I465" i="3" s="1"/>
  <c r="BK372" i="3"/>
  <c r="BO283" i="3"/>
  <c r="P427" i="3"/>
  <c r="AD385" i="3"/>
  <c r="AF368" i="3"/>
  <c r="BD287" i="3"/>
  <c r="BJ287" i="3" s="1"/>
  <c r="BI284" i="3"/>
  <c r="P428" i="3"/>
  <c r="BO284" i="3"/>
  <c r="O428" i="3"/>
  <c r="BQ373" i="3"/>
  <c r="BS374" i="3" s="1"/>
  <c r="BY374" i="3" s="1"/>
  <c r="CE373" i="3" s="1"/>
  <c r="K422" i="3"/>
  <c r="AQ367" i="3"/>
  <c r="BD285" i="3"/>
  <c r="BJ285" i="3" s="1"/>
  <c r="BK373" i="3"/>
  <c r="CF375" i="3"/>
  <c r="Q431" i="3"/>
  <c r="H457" i="3" s="1"/>
  <c r="CF374" i="3"/>
  <c r="Q430" i="3"/>
  <c r="H456" i="3" s="1"/>
  <c r="L422" i="3"/>
  <c r="AJ296" i="3"/>
  <c r="AO278" i="3"/>
  <c r="L423" i="3"/>
  <c r="AO279" i="3"/>
  <c r="AQ280" i="3" s="1"/>
  <c r="AW280" i="3" s="1"/>
  <c r="BD286" i="3"/>
  <c r="BJ286" i="3" s="1"/>
  <c r="BT367" i="3"/>
  <c r="BT385" i="3" s="1"/>
  <c r="BS351" i="3"/>
  <c r="AA298" i="3"/>
  <c r="BD370" i="3"/>
  <c r="BF371" i="3" s="1"/>
  <c r="BL371" i="3" s="1"/>
  <c r="M425" i="3"/>
  <c r="CD288" i="3"/>
  <c r="R433" i="3"/>
  <c r="I459" i="3" s="1"/>
  <c r="M464" i="3" l="1"/>
  <c r="L23" i="4" s="1"/>
  <c r="I23" i="4"/>
  <c r="M462" i="3"/>
  <c r="L21" i="4" s="1"/>
  <c r="I21" i="4"/>
  <c r="H19" i="4"/>
  <c r="L460" i="3"/>
  <c r="K19" i="4" s="1"/>
  <c r="V460" i="3"/>
  <c r="J460" i="3"/>
  <c r="U457" i="3"/>
  <c r="K457" i="3"/>
  <c r="J16" i="4" s="1"/>
  <c r="G16" i="4"/>
  <c r="H18" i="4"/>
  <c r="L459" i="3"/>
  <c r="K18" i="4" s="1"/>
  <c r="V459" i="3"/>
  <c r="J459" i="3"/>
  <c r="M461" i="3"/>
  <c r="L20" i="4" s="1"/>
  <c r="I20" i="4"/>
  <c r="H24" i="4"/>
  <c r="L465" i="3"/>
  <c r="K24" i="4" s="1"/>
  <c r="V465" i="3"/>
  <c r="J465" i="3"/>
  <c r="U456" i="3"/>
  <c r="G15" i="4"/>
  <c r="K456" i="3"/>
  <c r="J15" i="4" s="1"/>
  <c r="L440" i="3"/>
  <c r="AL368" i="3"/>
  <c r="AL385" i="3" s="1"/>
  <c r="AF385" i="3"/>
  <c r="BO286" i="3"/>
  <c r="P430" i="3"/>
  <c r="BQ371" i="3"/>
  <c r="BS372" i="3" s="1"/>
  <c r="BY372" i="3" s="1"/>
  <c r="CE371" i="3" s="1"/>
  <c r="O426" i="3"/>
  <c r="BQ284" i="3"/>
  <c r="BW284" i="3" s="1"/>
  <c r="CC283" i="3" s="1"/>
  <c r="P429" i="3"/>
  <c r="BO285" i="3"/>
  <c r="BD282" i="3"/>
  <c r="BJ282" i="3" s="1"/>
  <c r="N424" i="3"/>
  <c r="BB280" i="3"/>
  <c r="AX369" i="3"/>
  <c r="AX385" i="3" s="1"/>
  <c r="AS367" i="3" s="1"/>
  <c r="AV280" i="3"/>
  <c r="AV296" i="3" s="1"/>
  <c r="AQ278" i="3" s="1"/>
  <c r="AS368" i="3"/>
  <c r="AY368" i="3" s="1"/>
  <c r="BK375" i="3"/>
  <c r="BI285" i="3"/>
  <c r="BI286" i="3"/>
  <c r="BQ285" i="3"/>
  <c r="BW285" i="3" s="1"/>
  <c r="CC284" i="3" s="1"/>
  <c r="AO296" i="3"/>
  <c r="AQ279" i="3"/>
  <c r="AW279" i="3" s="1"/>
  <c r="BK374" i="3"/>
  <c r="BK376" i="3"/>
  <c r="P431" i="3"/>
  <c r="BO287" i="3"/>
  <c r="BI287" i="3"/>
  <c r="Q429" i="3"/>
  <c r="H455" i="3" s="1"/>
  <c r="CF373" i="3"/>
  <c r="K423" i="3"/>
  <c r="AQ368" i="3"/>
  <c r="AS369" i="3" s="1"/>
  <c r="AY369" i="3" s="1"/>
  <c r="M426" i="3"/>
  <c r="BD371" i="3"/>
  <c r="BF372" i="3" s="1"/>
  <c r="BL372" i="3" s="1"/>
  <c r="M459" i="3" l="1"/>
  <c r="L18" i="4" s="1"/>
  <c r="I18" i="4"/>
  <c r="M460" i="3"/>
  <c r="L19" i="4" s="1"/>
  <c r="I19" i="4"/>
  <c r="U455" i="3"/>
  <c r="G14" i="4"/>
  <c r="J455" i="3"/>
  <c r="K455" i="3"/>
  <c r="J14" i="4" s="1"/>
  <c r="M465" i="3"/>
  <c r="L24" i="4" s="1"/>
  <c r="I24" i="4"/>
  <c r="K440" i="3"/>
  <c r="AQ385" i="3"/>
  <c r="BV284" i="3"/>
  <c r="BX373" i="3"/>
  <c r="BD281" i="3"/>
  <c r="BJ281" i="3" s="1"/>
  <c r="AS385" i="3"/>
  <c r="AY367" i="3"/>
  <c r="BQ288" i="3"/>
  <c r="BW288" i="3" s="1"/>
  <c r="CC287" i="3" s="1"/>
  <c r="R429" i="3"/>
  <c r="I455" i="3" s="1"/>
  <c r="CD284" i="3"/>
  <c r="BQ372" i="3"/>
  <c r="BS373" i="3" s="1"/>
  <c r="BY373" i="3" s="1"/>
  <c r="CE372" i="3" s="1"/>
  <c r="O427" i="3"/>
  <c r="Q427" i="3"/>
  <c r="H453" i="3" s="1"/>
  <c r="CF371" i="3"/>
  <c r="AQ296" i="3"/>
  <c r="AN298" i="3" s="1"/>
  <c r="AW278" i="3"/>
  <c r="CD283" i="3"/>
  <c r="R428" i="3"/>
  <c r="I454" i="3" s="1"/>
  <c r="BD368" i="3"/>
  <c r="BF369" i="3" s="1"/>
  <c r="BL369" i="3" s="1"/>
  <c r="M423" i="3"/>
  <c r="BO282" i="3"/>
  <c r="P426" i="3"/>
  <c r="BK371" i="3"/>
  <c r="BI282" i="3"/>
  <c r="BD369" i="3"/>
  <c r="BF370" i="3" s="1"/>
  <c r="BL370" i="3" s="1"/>
  <c r="M424" i="3"/>
  <c r="N423" i="3"/>
  <c r="BB279" i="3"/>
  <c r="BD280" i="3" s="1"/>
  <c r="BJ280" i="3" s="1"/>
  <c r="BQ286" i="3"/>
  <c r="BW286" i="3" s="1"/>
  <c r="CC285" i="3" s="1"/>
  <c r="BX374" i="3"/>
  <c r="BV285" i="3"/>
  <c r="BQ287" i="3"/>
  <c r="BW287" i="3" s="1"/>
  <c r="CC286" i="3" s="1"/>
  <c r="M455" i="3" l="1"/>
  <c r="L14" i="4" s="1"/>
  <c r="I14" i="4"/>
  <c r="U453" i="3"/>
  <c r="G12" i="4"/>
  <c r="K453" i="3"/>
  <c r="J12" i="4" s="1"/>
  <c r="H14" i="4"/>
  <c r="L455" i="3"/>
  <c r="K14" i="4" s="1"/>
  <c r="V455" i="3"/>
  <c r="H13" i="4"/>
  <c r="L454" i="3"/>
  <c r="K13" i="4" s="1"/>
  <c r="V454" i="3"/>
  <c r="BX376" i="3"/>
  <c r="BD367" i="3"/>
  <c r="AY385" i="3"/>
  <c r="M422" i="3"/>
  <c r="R432" i="3"/>
  <c r="I458" i="3" s="1"/>
  <c r="CD287" i="3"/>
  <c r="CD286" i="3"/>
  <c r="R431" i="3"/>
  <c r="I457" i="3" s="1"/>
  <c r="BV287" i="3"/>
  <c r="BQ283" i="3"/>
  <c r="BW283" i="3" s="1"/>
  <c r="BO281" i="3"/>
  <c r="P425" i="3"/>
  <c r="BK370" i="3"/>
  <c r="BI281" i="3"/>
  <c r="AW296" i="3"/>
  <c r="N422" i="3"/>
  <c r="N440" i="3" s="1"/>
  <c r="BB278" i="3"/>
  <c r="CD285" i="3"/>
  <c r="R430" i="3"/>
  <c r="I456" i="3" s="1"/>
  <c r="BO280" i="3"/>
  <c r="P424" i="3"/>
  <c r="O424" i="3"/>
  <c r="BQ369" i="3"/>
  <c r="BS370" i="3" s="1"/>
  <c r="BY370" i="3" s="1"/>
  <c r="CE369" i="3" s="1"/>
  <c r="BV286" i="3"/>
  <c r="BK369" i="3"/>
  <c r="CF372" i="3"/>
  <c r="Q428" i="3"/>
  <c r="H454" i="3" s="1"/>
  <c r="BX375" i="3"/>
  <c r="BQ370" i="3"/>
  <c r="BS371" i="3" s="1"/>
  <c r="BY371" i="3" s="1"/>
  <c r="CE370" i="3" s="1"/>
  <c r="O425" i="3"/>
  <c r="BI280" i="3"/>
  <c r="K454" i="3" l="1"/>
  <c r="J13" i="4" s="1"/>
  <c r="U454" i="3"/>
  <c r="G13" i="4"/>
  <c r="J454" i="3"/>
  <c r="H16" i="4"/>
  <c r="L457" i="3"/>
  <c r="K16" i="4" s="1"/>
  <c r="V457" i="3"/>
  <c r="J457" i="3"/>
  <c r="H15" i="4"/>
  <c r="L456" i="3"/>
  <c r="K15" i="4" s="1"/>
  <c r="V456" i="3"/>
  <c r="J456" i="3"/>
  <c r="H17" i="4"/>
  <c r="L458" i="3"/>
  <c r="K17" i="4" s="1"/>
  <c r="V458" i="3"/>
  <c r="J458" i="3"/>
  <c r="M440" i="3"/>
  <c r="BI296" i="3"/>
  <c r="BD278" i="3" s="1"/>
  <c r="BJ278" i="3" s="1"/>
  <c r="BK385" i="3"/>
  <c r="BF367" i="3" s="1"/>
  <c r="BQ282" i="3"/>
  <c r="BW282" i="3" s="1"/>
  <c r="BB296" i="3"/>
  <c r="BD279" i="3"/>
  <c r="BJ279" i="3" s="1"/>
  <c r="CC282" i="3"/>
  <c r="BV283" i="3"/>
  <c r="BX372" i="3"/>
  <c r="BD385" i="3"/>
  <c r="BF368" i="3"/>
  <c r="BL368" i="3" s="1"/>
  <c r="CF370" i="3"/>
  <c r="Q426" i="3"/>
  <c r="H452" i="3" s="1"/>
  <c r="BQ281" i="3"/>
  <c r="BW281" i="3" s="1"/>
  <c r="CC280" i="3" s="1"/>
  <c r="BL367" i="3"/>
  <c r="Q425" i="3"/>
  <c r="H451" i="3" s="1"/>
  <c r="CF369" i="3"/>
  <c r="U452" i="3" l="1"/>
  <c r="G11" i="4"/>
  <c r="K452" i="3"/>
  <c r="J11" i="4" s="1"/>
  <c r="M458" i="3"/>
  <c r="L17" i="4" s="1"/>
  <c r="I17" i="4"/>
  <c r="M454" i="3"/>
  <c r="L13" i="4" s="1"/>
  <c r="I13" i="4"/>
  <c r="M457" i="3"/>
  <c r="L16" i="4" s="1"/>
  <c r="I16" i="4"/>
  <c r="U451" i="3"/>
  <c r="G10" i="4"/>
  <c r="K451" i="3"/>
  <c r="J10" i="4" s="1"/>
  <c r="M456" i="3"/>
  <c r="L15" i="4" s="1"/>
  <c r="I15" i="4"/>
  <c r="BD296" i="3"/>
  <c r="BA298" i="3" s="1"/>
  <c r="BF385" i="3"/>
  <c r="CD282" i="3"/>
  <c r="R427" i="3"/>
  <c r="I453" i="3" s="1"/>
  <c r="BQ367" i="3"/>
  <c r="O422" i="3"/>
  <c r="BL385" i="3"/>
  <c r="P423" i="3"/>
  <c r="BO279" i="3"/>
  <c r="BQ280" i="3" s="1"/>
  <c r="BW280" i="3" s="1"/>
  <c r="BX369" i="3" s="1"/>
  <c r="BV281" i="3"/>
  <c r="CD280" i="3"/>
  <c r="R425" i="3"/>
  <c r="I451" i="3" s="1"/>
  <c r="J451" i="3" s="1"/>
  <c r="CC281" i="3"/>
  <c r="BX371" i="3"/>
  <c r="BV282" i="3"/>
  <c r="BJ296" i="3"/>
  <c r="P422" i="3"/>
  <c r="BO278" i="3"/>
  <c r="O423" i="3"/>
  <c r="BQ368" i="3"/>
  <c r="BS369" i="3" s="1"/>
  <c r="BY369" i="3" s="1"/>
  <c r="CE368" i="3" s="1"/>
  <c r="BX370" i="3"/>
  <c r="M451" i="3" l="1"/>
  <c r="L10" i="4" s="1"/>
  <c r="I10" i="4"/>
  <c r="H10" i="4"/>
  <c r="L451" i="3"/>
  <c r="K10" i="4" s="1"/>
  <c r="V451" i="3"/>
  <c r="H12" i="4"/>
  <c r="L453" i="3"/>
  <c r="K12" i="4" s="1"/>
  <c r="V453" i="3"/>
  <c r="J453" i="3"/>
  <c r="P440" i="3"/>
  <c r="O440" i="3"/>
  <c r="BO296" i="3"/>
  <c r="BQ279" i="3"/>
  <c r="BW279" i="3" s="1"/>
  <c r="CC278" i="3" s="1"/>
  <c r="CD281" i="3"/>
  <c r="R426" i="3"/>
  <c r="I452" i="3" s="1"/>
  <c r="BS368" i="3"/>
  <c r="BY368" i="3" s="1"/>
  <c r="CE367" i="3" s="1"/>
  <c r="BQ385" i="3"/>
  <c r="CC279" i="3"/>
  <c r="BV280" i="3"/>
  <c r="BV296" i="3" s="1"/>
  <c r="BQ278" i="3" s="1"/>
  <c r="BX385" i="3"/>
  <c r="BS367" i="3" s="1"/>
  <c r="CF368" i="3"/>
  <c r="Q424" i="3"/>
  <c r="H450" i="3" s="1"/>
  <c r="K450" i="3" l="1"/>
  <c r="J9" i="4" s="1"/>
  <c r="U450" i="3"/>
  <c r="G9" i="4"/>
  <c r="H11" i="4"/>
  <c r="L452" i="3"/>
  <c r="K11" i="4" s="1"/>
  <c r="V452" i="3"/>
  <c r="J452" i="3"/>
  <c r="M453" i="3"/>
  <c r="L12" i="4" s="1"/>
  <c r="I12" i="4"/>
  <c r="BW278" i="3"/>
  <c r="BQ296" i="3"/>
  <c r="BN298" i="3" s="1"/>
  <c r="R424" i="3"/>
  <c r="I450" i="3" s="1"/>
  <c r="CD279" i="3"/>
  <c r="CD278" i="3"/>
  <c r="R423" i="3"/>
  <c r="I449" i="3" s="1"/>
  <c r="CF367" i="3"/>
  <c r="Q423" i="3"/>
  <c r="H449" i="3" s="1"/>
  <c r="BY367" i="3"/>
  <c r="BS385" i="3"/>
  <c r="L450" i="3" l="1"/>
  <c r="K9" i="4" s="1"/>
  <c r="V450" i="3"/>
  <c r="H9" i="4"/>
  <c r="H8" i="4"/>
  <c r="L449" i="3"/>
  <c r="K8" i="4" s="1"/>
  <c r="V449" i="3"/>
  <c r="M452" i="3"/>
  <c r="L11" i="4" s="1"/>
  <c r="I11" i="4"/>
  <c r="U449" i="3"/>
  <c r="G8" i="4"/>
  <c r="K449" i="3"/>
  <c r="J8" i="4" s="1"/>
  <c r="J449" i="3"/>
  <c r="J450" i="3"/>
  <c r="BY385" i="3"/>
  <c r="CE366" i="3"/>
  <c r="BW296" i="3"/>
  <c r="CC277" i="3"/>
  <c r="M450" i="3" l="1"/>
  <c r="L9" i="4" s="1"/>
  <c r="I9" i="4"/>
  <c r="M449" i="3"/>
  <c r="L8" i="4" s="1"/>
  <c r="I8" i="4"/>
  <c r="CE384" i="3"/>
  <c r="CF384" i="3" s="1"/>
  <c r="Q422" i="3"/>
  <c r="H448" i="3" s="1"/>
  <c r="CF366" i="3"/>
  <c r="CC295" i="3"/>
  <c r="CD295" i="3" s="1"/>
  <c r="R422" i="3"/>
  <c r="CD277" i="3"/>
  <c r="U448" i="3" l="1"/>
  <c r="K448" i="3"/>
  <c r="J7" i="4" s="1"/>
  <c r="G7" i="4"/>
  <c r="H466" i="3"/>
  <c r="R440" i="3"/>
  <c r="I448" i="3"/>
  <c r="Q440" i="3"/>
  <c r="H7" i="4" l="1"/>
  <c r="I466" i="3"/>
  <c r="L448" i="3"/>
  <c r="K7" i="4" s="1"/>
  <c r="V448" i="3"/>
  <c r="J448" i="3"/>
  <c r="K466" i="3"/>
  <c r="J25" i="4" s="1"/>
  <c r="G25" i="4"/>
  <c r="L466" i="3" l="1"/>
  <c r="K25" i="4" s="1"/>
  <c r="H25" i="4"/>
  <c r="I7" i="4"/>
  <c r="M448" i="3"/>
  <c r="L7" i="4" s="1"/>
  <c r="J466" i="3"/>
  <c r="M466" i="3" l="1"/>
  <c r="L25" i="4" s="1"/>
  <c r="I25" i="4"/>
</calcChain>
</file>

<file path=xl/sharedStrings.xml><?xml version="1.0" encoding="utf-8"?>
<sst xmlns="http://schemas.openxmlformats.org/spreadsheetml/2006/main" count="2348" uniqueCount="197">
  <si>
    <t xml:space="preserve">Further information on the book is available at: </t>
  </si>
  <si>
    <t>https://planningsupport.org/</t>
  </si>
  <si>
    <t>The workbook was developed by Richard Klosterman. Questions and comments can be sent to:</t>
  </si>
  <si>
    <t>mailto:dick.klosterman@gmail.com</t>
  </si>
  <si>
    <t>Contents</t>
  </si>
  <si>
    <t>Inputs and Procedures</t>
  </si>
  <si>
    <t>Cohort</t>
  </si>
  <si>
    <t>Ages</t>
  </si>
  <si>
    <t>Female Population</t>
  </si>
  <si>
    <t>(1)</t>
  </si>
  <si>
    <t>(2)</t>
  </si>
  <si>
    <t>(3)</t>
  </si>
  <si>
    <t>(4)</t>
  </si>
  <si>
    <t>(5)</t>
  </si>
  <si>
    <t>(6)</t>
  </si>
  <si>
    <t>(7)</t>
  </si>
  <si>
    <t>(8)</t>
  </si>
  <si>
    <t>Total</t>
  </si>
  <si>
    <t>(9)</t>
  </si>
  <si>
    <t>(10)</t>
  </si>
  <si>
    <t>Male</t>
  </si>
  <si>
    <t>Female</t>
  </si>
  <si>
    <t>Label =</t>
  </si>
  <si>
    <t>Launch Year =</t>
  </si>
  <si>
    <t>Target Year =</t>
  </si>
  <si>
    <t>Study Area =</t>
  </si>
  <si>
    <t xml:space="preserve">Population = </t>
  </si>
  <si>
    <t>target.10 =</t>
  </si>
  <si>
    <t>target.20 =</t>
  </si>
  <si>
    <t>target.30 =</t>
  </si>
  <si>
    <t>(11)</t>
  </si>
  <si>
    <t>n</t>
  </si>
  <si>
    <t>Age</t>
  </si>
  <si>
    <t>Outputs</t>
  </si>
  <si>
    <t xml:space="preserve">The Output worksheet contains one table and two population pyramids.  The cells in the table are locked and cannot be changed; the rest of the worksheet is not protected. </t>
  </si>
  <si>
    <t>The population pyramids display the observed population by age and sex in the launch year and the projected population by age and sex in the target year.</t>
  </si>
  <si>
    <t>Cohort-Component_1.00.xlsx</t>
  </si>
  <si>
    <t>Cohort-Component Input Data</t>
  </si>
  <si>
    <t>0-4</t>
  </si>
  <si>
    <t>5-9</t>
  </si>
  <si>
    <t>10-14</t>
  </si>
  <si>
    <t>15-19</t>
  </si>
  <si>
    <t>20-24</t>
  </si>
  <si>
    <t>25-29</t>
  </si>
  <si>
    <t>30-34</t>
  </si>
  <si>
    <t>35-39</t>
  </si>
  <si>
    <t>40-44</t>
  </si>
  <si>
    <t>45-49</t>
  </si>
  <si>
    <t>50-54</t>
  </si>
  <si>
    <t>55-59</t>
  </si>
  <si>
    <t>60-64</t>
  </si>
  <si>
    <t>65-69</t>
  </si>
  <si>
    <t>70-74</t>
  </si>
  <si>
    <t>75-79</t>
  </si>
  <si>
    <t>80-84</t>
  </si>
  <si>
    <t>85+</t>
  </si>
  <si>
    <t xml:space="preserve">Life Table Area = </t>
  </si>
  <si>
    <t>United States</t>
  </si>
  <si>
    <r>
      <t>T</t>
    </r>
    <r>
      <rPr>
        <vertAlign val="subscript"/>
        <sz val="11"/>
        <color theme="1"/>
        <rFont val="Calibri"/>
        <family val="2"/>
        <scheme val="minor"/>
      </rPr>
      <t>x</t>
    </r>
  </si>
  <si>
    <t>0-1</t>
  </si>
  <si>
    <t>5-6</t>
  </si>
  <si>
    <t>10-11</t>
  </si>
  <si>
    <t>15-16</t>
  </si>
  <si>
    <t>20-21</t>
  </si>
  <si>
    <t>25-26</t>
  </si>
  <si>
    <t>30-31</t>
  </si>
  <si>
    <t>35-36</t>
  </si>
  <si>
    <t>40-41</t>
  </si>
  <si>
    <t>45-46</t>
  </si>
  <si>
    <t>50-51</t>
  </si>
  <si>
    <t>55-56</t>
  </si>
  <si>
    <t>60-61</t>
  </si>
  <si>
    <t>65-66</t>
  </si>
  <si>
    <t>70-71</t>
  </si>
  <si>
    <t>75-56</t>
  </si>
  <si>
    <t>80-81</t>
  </si>
  <si>
    <t>85-86</t>
  </si>
  <si>
    <t>90-91</t>
  </si>
  <si>
    <t>Age Interval</t>
  </si>
  <si>
    <t>Births</t>
  </si>
  <si>
    <t xml:space="preserve">15-19 </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</si>
  <si>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</si>
  <si>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</si>
  <si>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</si>
  <si>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</si>
  <si>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</si>
  <si>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</si>
  <si>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</si>
  <si>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</si>
  <si>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</si>
  <si>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</si>
  <si>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70-74 </t>
  </si>
  <si>
    <t xml:space="preserve">75-79 </t>
  </si>
  <si>
    <t xml:space="preserve">80-84 </t>
  </si>
  <si>
    <t xml:space="preserve">85-89 </t>
  </si>
  <si>
    <t>---</t>
  </si>
  <si>
    <t xml:space="preserve">90+ </t>
  </si>
  <si>
    <t>L{x}</t>
  </si>
  <si>
    <t>T{x}</t>
  </si>
  <si>
    <t>s{n,n+1}</t>
  </si>
  <si>
    <t>Age of</t>
  </si>
  <si>
    <t>Mother</t>
  </si>
  <si>
    <t>Age of Mother</t>
  </si>
  <si>
    <t>Five-Year Fertility Rate</t>
  </si>
  <si>
    <t>Adjusted Five-Year Fertility Rate</t>
  </si>
  <si>
    <t>2)</t>
  </si>
  <si>
    <t>One-Year Fertility Rate</t>
  </si>
  <si>
    <t>L{2} / L{1}</t>
  </si>
  <si>
    <t xml:space="preserve">= </t>
  </si>
  <si>
    <t>L{1} / 500,000</t>
  </si>
  <si>
    <t>T{90} / T{85}</t>
  </si>
  <si>
    <t>Female Population:</t>
  </si>
  <si>
    <t>Female Birth Rates:</t>
  </si>
  <si>
    <t>Male Birth Rates:</t>
  </si>
  <si>
    <t>Adjusted Female Birth  Rates:</t>
  </si>
  <si>
    <t>Adjusted Male Birth Rates:</t>
  </si>
  <si>
    <t>Expected Female Births</t>
  </si>
  <si>
    <t>Average</t>
  </si>
  <si>
    <t xml:space="preserve">0-4 </t>
  </si>
  <si>
    <t xml:space="preserve">85+ </t>
  </si>
  <si>
    <t>Expected Male Births</t>
  </si>
  <si>
    <t>Fertility Rate (Female Births)</t>
  </si>
  <si>
    <t>Fertility Rate (Male Births)</t>
  </si>
  <si>
    <t>Female Births:</t>
  </si>
  <si>
    <t>=</t>
  </si>
  <si>
    <t>Male Births:</t>
  </si>
  <si>
    <t>Initial Female Population</t>
  </si>
  <si>
    <t>Survival Rate</t>
  </si>
  <si>
    <t>Expected Female Population</t>
  </si>
  <si>
    <t xml:space="preserve">Observed Female Population </t>
  </si>
  <si>
    <t>Estimated Female Net Migration</t>
  </si>
  <si>
    <t>Initial Male Population</t>
  </si>
  <si>
    <t>Expected Male Population</t>
  </si>
  <si>
    <t xml:space="preserve">Observed Male Population </t>
  </si>
  <si>
    <t>Estimated Male Net Migration</t>
  </si>
  <si>
    <t>Female Net Migration:</t>
  </si>
  <si>
    <t xml:space="preserve"> = </t>
  </si>
  <si>
    <t>Male Net Migration:</t>
  </si>
  <si>
    <t>National Female Population</t>
  </si>
  <si>
    <t>Estimated Net Migration</t>
  </si>
  <si>
    <t>Net Migration Rate</t>
  </si>
  <si>
    <t>Adjusted Net Migration Rate</t>
  </si>
  <si>
    <t>National Male Population</t>
  </si>
  <si>
    <t>--</t>
  </si>
  <si>
    <t>Adjusted Female Net Migration Rate:</t>
  </si>
  <si>
    <t>Female Net Migration Rate:</t>
  </si>
  <si>
    <t>Male Net Migration Rate:</t>
  </si>
  <si>
    <t>Adjusted Male Net Migration Rate:</t>
  </si>
  <si>
    <t>Age Group</t>
  </si>
  <si>
    <t>Net Migrants</t>
  </si>
  <si>
    <t>Population</t>
  </si>
  <si>
    <t xml:space="preserve">Surviving Population </t>
  </si>
  <si>
    <t>Age Specific Fertility Rates</t>
  </si>
  <si>
    <t>Births by Age of Mother</t>
  </si>
  <si>
    <t xml:space="preserve">Projected  Population </t>
  </si>
  <si>
    <t>Births by age of Mother</t>
  </si>
  <si>
    <t>Projecting Survivng Female Population</t>
  </si>
  <si>
    <t>Projecting Female Population (n&gt;1)</t>
  </si>
  <si>
    <t>Projecting Female Births</t>
  </si>
  <si>
    <t>Projecting Female Population in the First Cohort</t>
  </si>
  <si>
    <t>Projecting Survivng Male Population</t>
  </si>
  <si>
    <t>Projecting Male Population (n&gt;1)</t>
  </si>
  <si>
    <t>Projecting Male Births</t>
  </si>
  <si>
    <t>Projecting Male Population in the First Cohort</t>
  </si>
  <si>
    <t>Percent Change</t>
  </si>
  <si>
    <t>Deaths</t>
  </si>
  <si>
    <t>Male Population</t>
  </si>
  <si>
    <t>(12)</t>
  </si>
  <si>
    <t>(13)</t>
  </si>
  <si>
    <t>(14)</t>
  </si>
  <si>
    <t>(15)</t>
  </si>
  <si>
    <t>(16)</t>
  </si>
  <si>
    <t>target.5 =</t>
  </si>
  <si>
    <t>target.15 =</t>
  </si>
  <si>
    <t>target.25 =</t>
  </si>
  <si>
    <t>DeKalb County</t>
  </si>
  <si>
    <r>
      <t xml:space="preserve">The Cohort-Component workbook implements the cohort-component projection method described in Chapter 5 of Richard E. Klosterman, Kerry Brooks, Joshua Drucker, Edward Feser, and Henry Renski. </t>
    </r>
    <r>
      <rPr>
        <i/>
        <sz val="12"/>
        <color theme="1"/>
        <rFont val="Calibri"/>
        <family val="2"/>
        <scheme val="minor"/>
      </rPr>
      <t xml:space="preserve">Planning Support Methods: Urban and Regional Analysis and Projection </t>
    </r>
    <r>
      <rPr>
        <sz val="12"/>
        <color theme="1"/>
        <rFont val="Calibri"/>
        <family val="2"/>
        <scheme val="minor"/>
      </rPr>
      <t>(Rowman and Littlefield: 2018)</t>
    </r>
    <r>
      <rPr>
        <i/>
        <sz val="12"/>
        <color theme="1"/>
        <rFont val="Calibri"/>
        <family val="2"/>
        <scheme val="minor"/>
      </rPr>
      <t xml:space="preserve">. </t>
    </r>
  </si>
  <si>
    <t xml:space="preserve">The Cohort-Component workbook has four worksheets: </t>
  </si>
  <si>
    <r>
      <t xml:space="preserve">(1) </t>
    </r>
    <r>
      <rPr>
        <b/>
        <sz val="12"/>
        <color theme="1"/>
        <rFont val="Calibri"/>
        <family val="2"/>
        <scheme val="minor"/>
      </rPr>
      <t>Documentation</t>
    </r>
    <r>
      <rPr>
        <sz val="12"/>
        <color theme="1"/>
        <rFont val="Calibri"/>
        <family val="2"/>
        <scheme val="minor"/>
      </rPr>
      <t xml:space="preserve"> describes the Cohort-Component workbook, procedures for using it, the required inputs, and the outputs; </t>
    </r>
  </si>
  <si>
    <r>
      <t xml:space="preserve">(3) </t>
    </r>
    <r>
      <rPr>
        <b/>
        <sz val="12"/>
        <color theme="1"/>
        <rFont val="Calibri"/>
        <family val="2"/>
        <scheme val="minor"/>
      </rPr>
      <t>Calculation</t>
    </r>
    <r>
      <rPr>
        <sz val="12"/>
        <color theme="1"/>
        <rFont val="Calibri"/>
        <family val="2"/>
        <scheme val="minor"/>
      </rPr>
      <t xml:space="preserve"> computes the cohort-component projections. The worksheet is protected and cannot be modified by users. </t>
    </r>
  </si>
  <si>
    <r>
      <t xml:space="preserve">(1) </t>
    </r>
    <r>
      <rPr>
        <b/>
        <sz val="12"/>
        <color theme="1"/>
        <rFont val="Calibri"/>
        <family val="2"/>
        <scheme val="minor"/>
      </rPr>
      <t>Study Area</t>
    </r>
    <r>
      <rPr>
        <sz val="12"/>
        <color theme="1"/>
        <rFont val="Calibri"/>
        <family val="2"/>
        <scheme val="minor"/>
      </rPr>
      <t>, the study area name;</t>
    </r>
  </si>
  <si>
    <r>
      <t xml:space="preserve">(2) </t>
    </r>
    <r>
      <rPr>
        <b/>
        <sz val="12"/>
        <color theme="1"/>
        <rFont val="Calibri"/>
        <family val="2"/>
        <scheme val="minor"/>
      </rPr>
      <t>Population</t>
    </r>
    <r>
      <rPr>
        <sz val="12"/>
        <color theme="1"/>
        <rFont val="Calibri"/>
        <family val="2"/>
        <scheme val="minor"/>
      </rPr>
      <t>, the population to be projected, e.g., "Total," "White," or "Hispanic";</t>
    </r>
  </si>
  <si>
    <r>
      <t xml:space="preserve">(4) </t>
    </r>
    <r>
      <rPr>
        <b/>
        <sz val="12"/>
        <color theme="1"/>
        <rFont val="Calibri"/>
        <family val="2"/>
        <scheme val="minor"/>
      </rPr>
      <t>Target Year</t>
    </r>
    <r>
      <rPr>
        <sz val="12"/>
        <color theme="1"/>
        <rFont val="Calibri"/>
        <family val="2"/>
        <scheme val="minor"/>
      </rPr>
      <t>, the projection year; and</t>
    </r>
  </si>
  <si>
    <r>
      <t xml:space="preserve">(1) </t>
    </r>
    <r>
      <rPr>
        <b/>
        <sz val="12"/>
        <color theme="1"/>
        <rFont val="Calibri"/>
        <family val="2"/>
        <scheme val="minor"/>
      </rPr>
      <t>Study Area Population</t>
    </r>
    <r>
      <rPr>
        <sz val="12"/>
        <color theme="1"/>
        <rFont val="Calibri"/>
        <family val="2"/>
        <scheme val="minor"/>
      </rPr>
      <t>, the study area's male and female population in eighteen five-year age cohorts (ages 0-4 through 85+) in the launch year and five years preceeding the launch year</t>
    </r>
  </si>
  <si>
    <r>
      <t xml:space="preserve">(2) </t>
    </r>
    <r>
      <rPr>
        <b/>
        <sz val="12"/>
        <color theme="1"/>
        <rFont val="Calibri"/>
        <family val="2"/>
        <scheme val="minor"/>
      </rPr>
      <t xml:space="preserve">Study Area Live Births, </t>
    </r>
    <r>
      <rPr>
        <sz val="12"/>
        <color theme="1"/>
        <rFont val="Calibri"/>
        <family val="2"/>
        <scheme val="minor"/>
      </rPr>
      <t>the study area's male and female live births by age of mother (ages 10-14 through 50-54) in the launch year and five years before the launch year;</t>
    </r>
  </si>
  <si>
    <t>After entering the parameter values, users should clear the other blue cells and enter the following information in the appropriate cells:</t>
  </si>
  <si>
    <r>
      <t xml:space="preserve">(4) </t>
    </r>
    <r>
      <rPr>
        <b/>
        <sz val="12"/>
        <color theme="1"/>
        <rFont val="Calibri"/>
        <family val="2"/>
        <scheme val="minor"/>
      </rPr>
      <t>Output</t>
    </r>
    <r>
      <rPr>
        <sz val="12"/>
        <color theme="1"/>
        <rFont val="Calibri"/>
        <family val="2"/>
        <scheme val="minor"/>
      </rPr>
      <t xml:space="preserve"> reports the observed and projected male and female population for eighteen age cohorts in the launch and target years. It also displays population pyramids for the launch year and the target year.</t>
    </r>
  </si>
  <si>
    <r>
      <t>(3</t>
    </r>
    <r>
      <rPr>
        <b/>
        <sz val="12"/>
        <color theme="1"/>
        <rFont val="Calibri"/>
        <family val="2"/>
        <scheme val="minor"/>
      </rPr>
      <t>) Launch Year</t>
    </r>
    <r>
      <rPr>
        <sz val="12"/>
        <color theme="1"/>
        <rFont val="Calibri"/>
        <family val="2"/>
        <scheme val="minor"/>
      </rPr>
      <t>, the base year for the population projections;</t>
    </r>
  </si>
  <si>
    <r>
      <t xml:space="preserve">(5) </t>
    </r>
    <r>
      <rPr>
        <b/>
        <sz val="12"/>
        <color theme="1"/>
        <rFont val="Calibri"/>
        <family val="2"/>
        <scheme val="minor"/>
      </rPr>
      <t>Life Table Area</t>
    </r>
    <r>
      <rPr>
        <sz val="12"/>
        <color theme="1"/>
        <rFont val="Calibri"/>
        <family val="2"/>
        <scheme val="minor"/>
      </rPr>
      <t>, the life table area name, e.g., "United States".</t>
    </r>
  </si>
  <si>
    <t>The parameter values define the label displayed at the top of the Input and the headings for the Input, Computation, and Output worksheet tables.</t>
  </si>
  <si>
    <r>
      <t xml:space="preserve">(3) </t>
    </r>
    <r>
      <rPr>
        <b/>
        <sz val="12"/>
        <color theme="1"/>
        <rFont val="Calibri"/>
        <family val="2"/>
        <scheme val="minor"/>
      </rPr>
      <t>Life Table Tx Values,</t>
    </r>
    <r>
      <rPr>
        <sz val="12"/>
        <color theme="1"/>
        <rFont val="Calibri"/>
        <family val="2"/>
        <scheme val="minor"/>
      </rPr>
      <t xml:space="preserve"> the male and female life table Tx values for nineteen one-year age intervales (0-1 through 90-91) in the launch year;</t>
    </r>
  </si>
  <si>
    <r>
      <t xml:space="preserve">(4) </t>
    </r>
    <r>
      <rPr>
        <b/>
        <sz val="12"/>
        <color theme="1"/>
        <rFont val="Calibri"/>
        <family val="2"/>
        <scheme val="minor"/>
      </rPr>
      <t>National Population Data</t>
    </r>
    <r>
      <rPr>
        <sz val="12"/>
        <color theme="1"/>
        <rFont val="Calibri"/>
        <family val="2"/>
        <scheme val="minor"/>
      </rPr>
      <t>, the nation's male and female population for eighteen age cohorts (0-4 through 85+) at five year intervals from five years preceeding the launch year to five years preceeding the target year.</t>
    </r>
  </si>
  <si>
    <t xml:space="preserve">The table reports the study area population by age and sex and the total population by age in the base year and the target year. It also reports the percentage change in the population components between the base year and the target year. </t>
  </si>
  <si>
    <r>
      <t xml:space="preserve">The Cohort-Component workbook projects the male and female population in eighteeen age cohorts (ages 0-4 through  85+) at five-year intervals for up to thirty years. The workbook is distributed with population data for DeKalb County, Georgia, that are used on pages 90 to 124 of the </t>
    </r>
    <r>
      <rPr>
        <i/>
        <sz val="12"/>
        <color theme="1"/>
        <rFont val="Calibri"/>
        <family val="2"/>
        <scheme val="minor"/>
      </rPr>
      <t xml:space="preserve">Planning Support Methods </t>
    </r>
    <r>
      <rPr>
        <sz val="12"/>
        <color theme="1"/>
        <rFont val="Calibri"/>
        <family val="2"/>
        <scheme val="minor"/>
      </rPr>
      <t>text. The workbook values are slightly different from the text becasue of errors in the text's fertility rates.</t>
    </r>
  </si>
  <si>
    <r>
      <t xml:space="preserve">(2) </t>
    </r>
    <r>
      <rPr>
        <b/>
        <sz val="12"/>
        <color theme="1"/>
        <rFont val="Calibri"/>
        <family val="2"/>
        <scheme val="minor"/>
      </rPr>
      <t>Input</t>
    </r>
    <r>
      <rPr>
        <sz val="12"/>
        <color theme="1"/>
        <rFont val="Calibri"/>
        <family val="2"/>
        <scheme val="minor"/>
      </rPr>
      <t xml:space="preserve"> is used to enter the cohort-component projection parameters and data; </t>
    </r>
  </si>
  <si>
    <t>The following information is entered on the Input worksheet:</t>
  </si>
  <si>
    <r>
      <t xml:space="preserve">Free, online data sources  for the United States are provided in Appendix C of the </t>
    </r>
    <r>
      <rPr>
        <i/>
        <sz val="12"/>
        <color theme="1"/>
        <rFont val="Calibri"/>
        <family val="2"/>
        <scheme val="minor"/>
      </rPr>
      <t>Planning Support Methods</t>
    </r>
    <r>
      <rPr>
        <sz val="12"/>
        <color theme="1"/>
        <rFont val="Calibri"/>
        <family val="2"/>
        <scheme val="minor"/>
      </rPr>
      <t xml:space="preserve"> textbook.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</si>
</sst>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
    <numFmt numFmtId="167" formatCode="0.000E+00"/>
    <numFmt numFmtId="168" formatCode="#,##0.0000"/>
  </numFmts>
  <fonts count="28"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sz val="1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sz val="11"/>
      <color rgb="FF9C6500"/>
      <name val="Calibri"/>
      <family val="2"/>
      <scheme val="minor"/>
    </font>
    <font>
      <vertAlign val="subscript"/>
      <sz val="11"/>
      <color theme="1"/>
      <name val="Calibri"/>
      <family val="2"/>
      <scheme val="minor"/>
    </font>
    <font>
      <sz val="11"/>
      <color rgb="FF000000"/>
      <name val="Calibri"/>
      <family val="2"/>
      <scheme val="minor"/>
    </font>
    <font>
      <i/>
      <sz val="11"/>
      <color theme="1"/>
      <name val="Calibri"/>
      <family val="2"/>
      <scheme val="minor"/>
    </font>
    <font>
      <sz val="10"/>
      <name val="MS Sans Serif"/>
      <family val="2"/>
    </font>
  </fonts>
  <fills count="36">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auto="1"/>
      </left>
      <right/>
      <top style="thick">
        <color auto="1"/>
      </top>
      <bottom/>
      <diagonal/>
    </border>
    <border>
      <left/>
      <right/>
      <top style="thick">
        <color auto="1"/>
      </top>
      <bottom/>
      <diagonal/>
    </border>
    <border>
      <left style="thick">
        <color auto="1"/>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auto="1"/>
      </left>
      <right/>
      <top/>
      <bottom style="thick">
        <color auto="1"/>
      </bottom>
      <diagonal/>
    </border>
    <border>
      <left/>
      <right/>
      <top/>
      <bottom style="thick">
        <color auto="1"/>
      </bottom>
      <diagonal/>
    </border>
    <border>
      <left/>
      <right style="medium">
        <color indexed="64"/>
      </right>
      <top style="medium">
        <color indexed="64"/>
      </top>
      <bottom/>
      <diagonal/>
    </border>
    <border>
      <left/>
      <right style="thick">
        <color auto="1"/>
      </right>
      <top style="thick">
        <color auto="1"/>
      </top>
      <bottom/>
      <diagonal/>
    </border>
    <border>
      <left/>
      <right style="thick">
        <color auto="1"/>
      </right>
      <top/>
      <bottom/>
      <diagonal/>
    </border>
    <border>
      <left/>
      <right style="thick">
        <color auto="1"/>
      </right>
      <top/>
      <bottom style="thick">
        <color auto="1"/>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auto="1"/>
      </top>
      <bottom style="medium">
        <color auto="1"/>
      </bottom>
      <diagonal/>
    </border>
    <border>
      <left style="medium">
        <color auto="1"/>
      </left>
      <right/>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style="medium">
        <color auto="1"/>
      </left>
      <right style="thick">
        <color auto="1"/>
      </right>
      <top/>
      <bottom/>
      <diagonal/>
    </border>
  </borders>
  <cellStyleXfs count="44">
    <xf numFmtId="0" fontId="0" fillId="0" borderId="0"/>
    <xf numFmtId="0" fontId="3" fillId="0" borderId="0" applyNumberFormat="0" applyFill="0" applyBorder="0" applyAlignment="0" applyProtection="0"/>
    <xf numFmtId="0" fontId="10" fillId="0" borderId="31" applyNumberFormat="0" applyFill="0" applyAlignment="0" applyProtection="0"/>
    <xf numFmtId="0" fontId="11" fillId="0" borderId="32" applyNumberFormat="0" applyFill="0" applyAlignment="0" applyProtection="0"/>
    <xf numFmtId="0" fontId="12" fillId="0" borderId="33" applyNumberFormat="0" applyFill="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7" borderId="34" applyNumberFormat="0" applyAlignment="0" applyProtection="0"/>
    <xf numFmtId="0" fontId="16" fillId="8" borderId="35" applyNumberFormat="0" applyAlignment="0" applyProtection="0"/>
    <xf numFmtId="0" fontId="17" fillId="8" borderId="34" applyNumberFormat="0" applyAlignment="0" applyProtection="0"/>
    <xf numFmtId="0" fontId="18" fillId="0" borderId="36" applyNumberFormat="0" applyFill="0" applyAlignment="0" applyProtection="0"/>
    <xf numFmtId="0" fontId="19" fillId="9" borderId="37" applyNumberFormat="0" applyAlignment="0" applyProtection="0"/>
    <xf numFmtId="0" fontId="1" fillId="0" borderId="0" applyNumberFormat="0" applyFill="0" applyBorder="0" applyAlignment="0" applyProtection="0"/>
    <xf numFmtId="0" fontId="9" fillId="10" borderId="38" applyNumberFormat="0" applyFont="0" applyAlignment="0" applyProtection="0"/>
    <xf numFmtId="0" fontId="20" fillId="0" borderId="0" applyNumberFormat="0" applyFill="0" applyBorder="0" applyAlignment="0" applyProtection="0"/>
    <xf numFmtId="0" fontId="2" fillId="0" borderId="39" applyNumberFormat="0" applyFill="0" applyAlignment="0" applyProtection="0"/>
    <xf numFmtId="0" fontId="21"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21"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21"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21"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21"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21"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22" fillId="0" borderId="0" applyNumberFormat="0" applyFill="0" applyBorder="0" applyAlignment="0" applyProtection="0"/>
    <xf numFmtId="0" fontId="23" fillId="6" borderId="0" applyNumberFormat="0" applyBorder="0" applyAlignment="0" applyProtection="0"/>
    <xf numFmtId="0" fontId="21" fillId="14" borderId="0" applyNumberFormat="0" applyBorder="0" applyAlignment="0" applyProtection="0"/>
    <xf numFmtId="0" fontId="21" fillId="18" borderId="0" applyNumberFormat="0" applyBorder="0" applyAlignment="0" applyProtection="0"/>
    <xf numFmtId="0" fontId="21" fillId="22" borderId="0" applyNumberFormat="0" applyBorder="0" applyAlignment="0" applyProtection="0"/>
    <xf numFmtId="0" fontId="21" fillId="26" borderId="0" applyNumberFormat="0" applyBorder="0" applyAlignment="0" applyProtection="0"/>
    <xf numFmtId="0" fontId="21" fillId="30" borderId="0" applyNumberFormat="0" applyBorder="0" applyAlignment="0" applyProtection="0"/>
    <xf numFmtId="0" fontId="21" fillId="34" borderId="0" applyNumberFormat="0" applyBorder="0" applyAlignment="0" applyProtection="0"/>
    <xf numFmtId="0" fontId="27" fillId="0" borderId="0"/>
  </cellStyleXfs>
  <cellXfs count="285">
    <xf numFmtId="0" fontId="0" fillId="0" borderId="0" xfId="0"/>
    <xf numFmtId="0" fontId="4"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center" wrapText="1"/>
    </xf>
    <xf numFmtId="0" fontId="3" fillId="0" borderId="0" xfId="1"/>
    <xf numFmtId="0" fontId="6" fillId="0" borderId="0" xfId="0" applyFont="1" applyAlignment="1">
      <alignment horizontal="right" vertical="center" wrapText="1"/>
    </xf>
    <xf numFmtId="0" fontId="5" fillId="0" borderId="0" xfId="0" applyFont="1" applyAlignment="1">
      <alignment horizontal="center" vertical="center" wrapText="1"/>
    </xf>
    <xf numFmtId="0" fontId="6" fillId="0" borderId="0" xfId="0" applyFont="1" applyAlignment="1">
      <alignment horizontal="left" vertical="center" wrapText="1"/>
    </xf>
    <xf numFmtId="0" fontId="3" fillId="0" borderId="0" xfId="1" applyAlignment="1">
      <alignment vertical="center"/>
    </xf>
    <xf numFmtId="0" fontId="0" fillId="2" borderId="0" xfId="0" applyFill="1" applyAlignment="1" applyProtection="1">
      <alignment horizontal="center"/>
      <protection locked="0"/>
    </xf>
    <xf numFmtId="0" fontId="0" fillId="0" borderId="0" xfId="0" applyAlignment="1">
      <alignment wrapText="1"/>
    </xf>
    <xf numFmtId="0" fontId="0" fillId="0" borderId="0" xfId="0" applyProtection="1">
      <protection locked="0"/>
    </xf>
    <xf numFmtId="3" fontId="0" fillId="3" borderId="14" xfId="0" applyNumberFormat="1" applyFill="1" applyBorder="1" applyAlignment="1" applyProtection="1">
      <alignment horizontal="center"/>
      <protection locked="0"/>
    </xf>
    <xf numFmtId="3" fontId="0" fillId="3" borderId="16" xfId="0" applyNumberFormat="1" applyFill="1" applyBorder="1" applyAlignment="1" applyProtection="1">
      <alignment horizontal="center"/>
      <protection locked="0"/>
    </xf>
    <xf numFmtId="3" fontId="0" fillId="2" borderId="1" xfId="0" applyNumberFormat="1" applyFill="1" applyBorder="1" applyAlignment="1" applyProtection="1">
      <alignment horizontal="center"/>
      <protection locked="0"/>
    </xf>
    <xf numFmtId="3" fontId="0" fillId="2" borderId="15" xfId="0" applyNumberFormat="1" applyFill="1" applyBorder="1" applyAlignment="1" applyProtection="1">
      <alignment horizontal="center"/>
      <protection locked="0"/>
    </xf>
    <xf numFmtId="3" fontId="0" fillId="2" borderId="2" xfId="0" applyNumberFormat="1" applyFill="1" applyBorder="1" applyAlignment="1" applyProtection="1">
      <alignment horizontal="center"/>
      <protection locked="0"/>
    </xf>
    <xf numFmtId="3" fontId="0" fillId="2" borderId="16" xfId="0" applyNumberFormat="1" applyFill="1" applyBorder="1" applyAlignment="1" applyProtection="1">
      <alignment horizontal="center"/>
      <protection locked="0"/>
    </xf>
    <xf numFmtId="3" fontId="0" fillId="2" borderId="44" xfId="0" applyNumberFormat="1" applyFill="1" applyBorder="1" applyAlignment="1" applyProtection="1">
      <alignment horizontal="center"/>
      <protection locked="0"/>
    </xf>
    <xf numFmtId="3" fontId="0" fillId="2" borderId="45" xfId="0" applyNumberFormat="1" applyFill="1" applyBorder="1" applyAlignment="1" applyProtection="1">
      <alignment horizontal="center"/>
      <protection locked="0"/>
    </xf>
    <xf numFmtId="3" fontId="0" fillId="2" borderId="17" xfId="0" applyNumberFormat="1" applyFill="1" applyBorder="1" applyAlignment="1" applyProtection="1">
      <alignment horizontal="center"/>
      <protection locked="0"/>
    </xf>
    <xf numFmtId="3" fontId="0" fillId="2" borderId="14" xfId="0" applyNumberFormat="1" applyFill="1" applyBorder="1" applyAlignment="1" applyProtection="1">
      <alignment horizontal="center"/>
      <protection locked="0"/>
    </xf>
    <xf numFmtId="3" fontId="0" fillId="2" borderId="3" xfId="0" applyNumberFormat="1" applyFill="1" applyBorder="1" applyAlignment="1" applyProtection="1">
      <alignment horizontal="center"/>
      <protection locked="0"/>
    </xf>
    <xf numFmtId="3" fontId="0" fillId="2" borderId="4" xfId="0" applyNumberFormat="1" applyFill="1" applyBorder="1" applyAlignment="1" applyProtection="1">
      <alignment horizontal="center"/>
      <protection locked="0"/>
    </xf>
    <xf numFmtId="0" fontId="6" fillId="0" borderId="0" xfId="0" quotePrefix="1" applyFont="1" applyAlignment="1">
      <alignment horizontal="left" vertical="center" wrapText="1"/>
    </xf>
    <xf numFmtId="0" fontId="0" fillId="0" borderId="0" xfId="0" applyProtection="1"/>
    <xf numFmtId="0" fontId="2" fillId="0" borderId="10" xfId="0" applyFont="1" applyBorder="1" applyAlignment="1" applyProtection="1">
      <alignment horizontal="centerContinuous"/>
    </xf>
    <xf numFmtId="0" fontId="0" fillId="0" borderId="11" xfId="0" applyBorder="1" applyAlignment="1" applyProtection="1">
      <alignment horizontal="centerContinuous"/>
    </xf>
    <xf numFmtId="0" fontId="0" fillId="0" borderId="11" xfId="0" applyBorder="1" applyProtection="1"/>
    <xf numFmtId="0" fontId="0" fillId="0" borderId="23" xfId="0" applyBorder="1" applyProtection="1"/>
    <xf numFmtId="0" fontId="0" fillId="0" borderId="12" xfId="0" quotePrefix="1" applyBorder="1" applyAlignment="1" applyProtection="1">
      <alignment horizontal="right"/>
    </xf>
    <xf numFmtId="0" fontId="0" fillId="0" borderId="0" xfId="0" applyBorder="1" applyProtection="1"/>
    <xf numFmtId="0" fontId="0" fillId="0" borderId="24" xfId="0" applyBorder="1" applyProtection="1"/>
    <xf numFmtId="0" fontId="0" fillId="0" borderId="0" xfId="0" applyAlignment="1" applyProtection="1">
      <alignment horizontal="centerContinuous"/>
    </xf>
    <xf numFmtId="0" fontId="0" fillId="0" borderId="0" xfId="0" applyBorder="1" applyAlignment="1" applyProtection="1">
      <alignment horizontal="centerContinuous"/>
    </xf>
    <xf numFmtId="0" fontId="0" fillId="0" borderId="0" xfId="0" applyBorder="1" applyAlignment="1" applyProtection="1">
      <alignment horizontal="left"/>
    </xf>
    <xf numFmtId="0" fontId="0" fillId="0" borderId="0" xfId="0" applyBorder="1" applyAlignment="1" applyProtection="1">
      <alignment horizontal="justify"/>
    </xf>
    <xf numFmtId="3" fontId="0" fillId="0" borderId="0" xfId="0" applyNumberFormat="1" applyProtection="1"/>
    <xf numFmtId="0" fontId="0" fillId="0" borderId="13" xfId="0" applyBorder="1" applyAlignment="1" applyProtection="1">
      <alignment horizontal="center"/>
    </xf>
    <xf numFmtId="0" fontId="0" fillId="0" borderId="26" xfId="0" applyBorder="1" applyAlignment="1" applyProtection="1">
      <alignment horizontal="center"/>
    </xf>
    <xf numFmtId="0" fontId="0" fillId="0" borderId="28" xfId="0" applyBorder="1" applyAlignment="1" applyProtection="1">
      <alignment horizontal="centerContinuous"/>
    </xf>
    <xf numFmtId="0" fontId="0" fillId="0" borderId="22" xfId="0" applyBorder="1" applyAlignment="1" applyProtection="1">
      <alignment horizontal="centerContinuous"/>
    </xf>
    <xf numFmtId="3" fontId="0" fillId="0" borderId="0" xfId="0" applyNumberFormat="1" applyBorder="1" applyAlignment="1" applyProtection="1">
      <alignment horizontal="center"/>
    </xf>
    <xf numFmtId="0" fontId="0" fillId="0" borderId="42" xfId="0" applyBorder="1" applyAlignment="1" applyProtection="1">
      <alignment horizontal="center"/>
    </xf>
    <xf numFmtId="0" fontId="0" fillId="0" borderId="49" xfId="0" applyBorder="1" applyAlignment="1" applyProtection="1">
      <alignment horizontal="centerContinuous"/>
    </xf>
    <xf numFmtId="0" fontId="0" fillId="0" borderId="40" xfId="0" applyBorder="1" applyAlignment="1" applyProtection="1">
      <alignment horizontal="centerContinuous"/>
    </xf>
    <xf numFmtId="0" fontId="0" fillId="0" borderId="46" xfId="0" applyBorder="1" applyAlignment="1" applyProtection="1">
      <alignment horizontal="centerContinuous"/>
    </xf>
    <xf numFmtId="0" fontId="0" fillId="0" borderId="0" xfId="0" applyBorder="1" applyAlignment="1" applyProtection="1"/>
    <xf numFmtId="0" fontId="0" fillId="0" borderId="48" xfId="0" applyBorder="1" applyAlignment="1" applyProtection="1">
      <alignment horizontal="center"/>
    </xf>
    <xf numFmtId="0" fontId="0" fillId="0" borderId="50" xfId="0" applyBorder="1" applyAlignment="1" applyProtection="1">
      <alignment horizontal="centerContinuous"/>
    </xf>
    <xf numFmtId="0" fontId="0" fillId="0" borderId="41" xfId="0" applyBorder="1" applyAlignment="1" applyProtection="1">
      <alignment horizontal="centerContinuous"/>
    </xf>
    <xf numFmtId="0" fontId="0" fillId="0" borderId="60" xfId="0" applyBorder="1" applyProtection="1"/>
    <xf numFmtId="0" fontId="0" fillId="0" borderId="14" xfId="0" applyBorder="1" applyProtection="1"/>
    <xf numFmtId="0" fontId="0" fillId="0" borderId="4" xfId="0" applyBorder="1" applyAlignment="1" applyProtection="1">
      <alignment horizontal="center"/>
    </xf>
    <xf numFmtId="0" fontId="0" fillId="0" borderId="17" xfId="0" applyBorder="1" applyAlignment="1" applyProtection="1">
      <alignment horizontal="center"/>
    </xf>
    <xf numFmtId="0" fontId="0" fillId="0" borderId="15" xfId="0" applyBorder="1" applyAlignment="1" applyProtection="1">
      <alignment horizontal="center"/>
    </xf>
    <xf numFmtId="0" fontId="0" fillId="0" borderId="14" xfId="0" applyBorder="1" applyAlignment="1" applyProtection="1">
      <alignment horizontal="center"/>
    </xf>
    <xf numFmtId="0" fontId="0" fillId="0" borderId="2" xfId="0" applyBorder="1" applyAlignment="1" applyProtection="1">
      <alignment horizontal="center"/>
    </xf>
    <xf numFmtId="0" fontId="0" fillId="0" borderId="1" xfId="0" applyBorder="1" applyAlignment="1" applyProtection="1">
      <alignment horizontal="center"/>
    </xf>
    <xf numFmtId="0" fontId="0" fillId="0" borderId="47" xfId="0" applyBorder="1" applyAlignment="1" applyProtection="1">
      <alignment horizontal="center"/>
    </xf>
    <xf numFmtId="0" fontId="0" fillId="0" borderId="0" xfId="0"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0" fillId="0" borderId="5" xfId="0" applyBorder="1" applyAlignment="1" applyProtection="1">
      <alignment horizontal="center"/>
    </xf>
    <xf numFmtId="0" fontId="0" fillId="0" borderId="55" xfId="0" applyBorder="1" applyAlignment="1" applyProtection="1">
      <alignment horizontal="center"/>
    </xf>
    <xf numFmtId="0" fontId="0" fillId="0" borderId="60" xfId="0" applyBorder="1" applyAlignment="1" applyProtection="1">
      <alignment horizontal="center"/>
    </xf>
    <xf numFmtId="0" fontId="0" fillId="0" borderId="0" xfId="0" applyAlignment="1" applyProtection="1">
      <alignment horizontal="center"/>
    </xf>
    <xf numFmtId="1" fontId="0" fillId="0" borderId="12" xfId="0" applyNumberFormat="1" applyBorder="1" applyAlignment="1" applyProtection="1">
      <alignment horizontal="right"/>
    </xf>
    <xf numFmtId="0" fontId="0" fillId="0" borderId="29" xfId="0" quotePrefix="1" applyBorder="1" applyAlignment="1" applyProtection="1">
      <alignment horizontal="center"/>
    </xf>
    <xf numFmtId="0" fontId="0" fillId="0" borderId="8" xfId="0" quotePrefix="1" applyBorder="1" applyAlignment="1" applyProtection="1">
      <alignment horizontal="center"/>
    </xf>
    <xf numFmtId="0" fontId="0" fillId="0" borderId="30" xfId="0" quotePrefix="1" applyBorder="1" applyAlignment="1" applyProtection="1">
      <alignment horizontal="center"/>
    </xf>
    <xf numFmtId="0" fontId="0" fillId="0" borderId="0" xfId="0" quotePrefix="1" applyBorder="1" applyAlignment="1" applyProtection="1">
      <alignment horizontal="center"/>
    </xf>
    <xf numFmtId="0" fontId="0" fillId="0" borderId="6" xfId="0" quotePrefix="1" applyBorder="1" applyAlignment="1" applyProtection="1">
      <alignment horizontal="center"/>
    </xf>
    <xf numFmtId="0" fontId="0" fillId="0" borderId="60" xfId="0" quotePrefix="1" applyBorder="1" applyAlignment="1" applyProtection="1">
      <alignment horizontal="center"/>
    </xf>
    <xf numFmtId="0" fontId="0" fillId="0" borderId="0" xfId="0" quotePrefix="1" applyAlignment="1" applyProtection="1">
      <alignment horizontal="center"/>
    </xf>
    <xf numFmtId="0" fontId="0" fillId="0" borderId="12" xfId="0" applyBorder="1" applyAlignment="1" applyProtection="1">
      <alignment horizontal="right"/>
    </xf>
    <xf numFmtId="164" fontId="0" fillId="0" borderId="0" xfId="0" quotePrefix="1" applyNumberFormat="1" applyBorder="1" applyAlignment="1" applyProtection="1">
      <alignment horizontal="center"/>
    </xf>
    <xf numFmtId="16" fontId="0" fillId="0" borderId="2" xfId="0" applyNumberFormat="1" applyBorder="1" applyAlignment="1" applyProtection="1">
      <alignment horizontal="center"/>
    </xf>
    <xf numFmtId="0" fontId="0" fillId="0" borderId="14" xfId="0" quotePrefix="1" applyBorder="1" applyAlignment="1" applyProtection="1">
      <alignment horizontal="center"/>
    </xf>
    <xf numFmtId="3" fontId="0" fillId="0" borderId="0" xfId="0" applyNumberFormat="1" applyFill="1" applyBorder="1" applyAlignment="1" applyProtection="1">
      <alignment horizontal="center"/>
    </xf>
    <xf numFmtId="0" fontId="0" fillId="0" borderId="16" xfId="0" quotePrefix="1" applyBorder="1" applyAlignment="1" applyProtection="1">
      <alignment horizontal="center"/>
    </xf>
    <xf numFmtId="3" fontId="0" fillId="0" borderId="60" xfId="0" applyNumberFormat="1" applyFill="1" applyBorder="1" applyAlignment="1" applyProtection="1">
      <alignment horizontal="center"/>
    </xf>
    <xf numFmtId="3" fontId="8" fillId="0" borderId="0" xfId="0" applyNumberFormat="1" applyFont="1" applyFill="1" applyAlignment="1" applyProtection="1">
      <alignment vertical="center"/>
    </xf>
    <xf numFmtId="16" fontId="0" fillId="0" borderId="4" xfId="0" quotePrefix="1" applyNumberFormat="1" applyBorder="1" applyAlignment="1" applyProtection="1">
      <alignment horizontal="center"/>
    </xf>
    <xf numFmtId="164" fontId="0" fillId="0" borderId="0" xfId="0" applyNumberFormat="1" applyBorder="1" applyAlignment="1" applyProtection="1">
      <alignment horizontal="center"/>
    </xf>
    <xf numFmtId="0" fontId="0" fillId="0" borderId="54" xfId="0" applyBorder="1" applyProtection="1"/>
    <xf numFmtId="0" fontId="0" fillId="0" borderId="4" xfId="0" quotePrefix="1" applyBorder="1" applyAlignment="1" applyProtection="1">
      <alignment horizontal="center"/>
    </xf>
    <xf numFmtId="0" fontId="0" fillId="0" borderId="18" xfId="0" applyBorder="1" applyAlignment="1" applyProtection="1">
      <alignment horizontal="center"/>
    </xf>
    <xf numFmtId="0" fontId="0" fillId="0" borderId="53" xfId="0" quotePrefix="1" applyBorder="1" applyAlignment="1" applyProtection="1">
      <alignment horizontal="center"/>
    </xf>
    <xf numFmtId="3" fontId="0" fillId="0" borderId="53" xfId="0" applyNumberFormat="1" applyBorder="1" applyAlignment="1" applyProtection="1">
      <alignment horizontal="center"/>
    </xf>
    <xf numFmtId="3" fontId="0" fillId="0" borderId="19" xfId="0" applyNumberFormat="1" applyBorder="1" applyAlignment="1" applyProtection="1">
      <alignment horizontal="center"/>
    </xf>
    <xf numFmtId="0" fontId="0" fillId="0" borderId="16" xfId="0" applyBorder="1" applyAlignment="1" applyProtection="1">
      <alignment horizontal="center"/>
    </xf>
    <xf numFmtId="0" fontId="0" fillId="0" borderId="12" xfId="0" applyBorder="1" applyProtection="1"/>
    <xf numFmtId="0" fontId="0" fillId="0" borderId="18" xfId="0" applyBorder="1" applyProtection="1"/>
    <xf numFmtId="0" fontId="0" fillId="0" borderId="27" xfId="0" applyBorder="1" applyAlignment="1" applyProtection="1">
      <alignment horizontal="center"/>
    </xf>
    <xf numFmtId="3" fontId="0" fillId="0" borderId="18" xfId="0" applyNumberFormat="1" applyBorder="1" applyAlignment="1" applyProtection="1">
      <alignment horizontal="center"/>
    </xf>
    <xf numFmtId="0" fontId="0" fillId="0" borderId="43" xfId="0" quotePrefix="1" applyBorder="1" applyAlignment="1" applyProtection="1">
      <alignment horizontal="center"/>
    </xf>
    <xf numFmtId="0" fontId="0" fillId="0" borderId="19" xfId="0" applyBorder="1" applyAlignment="1" applyProtection="1">
      <alignment horizontal="center"/>
    </xf>
    <xf numFmtId="3" fontId="0" fillId="0" borderId="56" xfId="0" applyNumberFormat="1" applyBorder="1" applyAlignment="1" applyProtection="1">
      <alignment horizontal="center"/>
    </xf>
    <xf numFmtId="3" fontId="0" fillId="0" borderId="60" xfId="0" applyNumberFormat="1" applyBorder="1" applyAlignment="1" applyProtection="1">
      <alignment horizontal="center"/>
    </xf>
    <xf numFmtId="3" fontId="0" fillId="0" borderId="0" xfId="0" applyNumberFormat="1" applyAlignment="1" applyProtection="1">
      <alignment horizontal="center"/>
    </xf>
    <xf numFmtId="3" fontId="0" fillId="0" borderId="0" xfId="0" quotePrefix="1" applyNumberFormat="1" applyAlignment="1" applyProtection="1">
      <alignment horizontal="center"/>
    </xf>
    <xf numFmtId="3" fontId="0" fillId="0" borderId="0" xfId="0" quotePrefix="1" applyNumberFormat="1" applyBorder="1" applyAlignment="1" applyProtection="1">
      <alignment horizontal="center"/>
    </xf>
    <xf numFmtId="0" fontId="0" fillId="0" borderId="20" xfId="0" applyBorder="1" applyProtection="1"/>
    <xf numFmtId="0" fontId="0" fillId="0" borderId="21" xfId="0" applyBorder="1" applyProtection="1"/>
    <xf numFmtId="0" fontId="0" fillId="0" borderId="25" xfId="0" applyBorder="1" applyProtection="1"/>
    <xf numFmtId="3" fontId="8" fillId="2" borderId="2" xfId="0" applyNumberFormat="1" applyFont="1" applyFill="1" applyBorder="1" applyAlignment="1" applyProtection="1">
      <alignment horizontal="center"/>
      <protection locked="0"/>
    </xf>
    <xf numFmtId="3" fontId="8" fillId="2" borderId="16" xfId="0" applyNumberFormat="1" applyFont="1" applyFill="1" applyBorder="1" applyAlignment="1" applyProtection="1">
      <alignment vertical="center"/>
      <protection locked="0"/>
    </xf>
    <xf numFmtId="0" fontId="0" fillId="0" borderId="13" xfId="0" applyBorder="1" applyAlignment="1" applyProtection="1">
      <alignment horizontal="center" vertical="center"/>
    </xf>
    <xf numFmtId="0" fontId="25" fillId="0" borderId="48" xfId="0" applyFont="1" applyBorder="1" applyAlignment="1" applyProtection="1">
      <alignment horizontal="center" vertical="center"/>
    </xf>
    <xf numFmtId="0" fontId="0" fillId="0" borderId="50" xfId="0" applyBorder="1" applyAlignment="1" applyProtection="1">
      <alignment horizontal="centerContinuous" vertical="center"/>
    </xf>
    <xf numFmtId="0" fontId="0" fillId="0" borderId="41" xfId="0" applyBorder="1" applyAlignment="1" applyProtection="1">
      <alignment horizontal="centerContinuous" vertical="center"/>
    </xf>
    <xf numFmtId="0" fontId="25" fillId="0" borderId="46" xfId="0" applyFont="1" applyBorder="1" applyAlignment="1" applyProtection="1">
      <alignment horizontal="centerContinuous" vertical="center"/>
    </xf>
    <xf numFmtId="0" fontId="0" fillId="0" borderId="0" xfId="0" applyAlignment="1" applyProtection="1">
      <alignment horizontal="right"/>
    </xf>
    <xf numFmtId="0" fontId="0" fillId="0" borderId="14" xfId="0" applyBorder="1" applyAlignment="1" applyProtection="1">
      <alignment horizontal="center" vertical="center"/>
    </xf>
    <xf numFmtId="0" fontId="0" fillId="0" borderId="16" xfId="0" applyBorder="1" applyProtection="1"/>
    <xf numFmtId="0" fontId="25" fillId="0" borderId="14" xfId="0" applyFont="1" applyBorder="1" applyAlignment="1" applyProtection="1">
      <alignment horizontal="center" vertical="center"/>
    </xf>
    <xf numFmtId="0" fontId="25" fillId="0" borderId="2" xfId="0" applyFont="1" applyBorder="1" applyAlignment="1" applyProtection="1">
      <alignment horizontal="center" vertical="center"/>
    </xf>
    <xf numFmtId="0" fontId="25" fillId="0" borderId="16" xfId="0" applyFont="1" applyBorder="1" applyAlignment="1" applyProtection="1">
      <alignment horizontal="center" vertical="center"/>
    </xf>
    <xf numFmtId="0" fontId="25" fillId="0" borderId="51" xfId="0" quotePrefix="1" applyFont="1" applyBorder="1" applyAlignment="1" applyProtection="1">
      <alignment horizontal="center" vertical="center"/>
    </xf>
    <xf numFmtId="0" fontId="25" fillId="0" borderId="52" xfId="0" quotePrefix="1" applyFont="1" applyBorder="1" applyAlignment="1" applyProtection="1">
      <alignment horizontal="center" vertical="center"/>
    </xf>
    <xf numFmtId="0" fontId="25" fillId="0" borderId="5" xfId="0" quotePrefix="1" applyFont="1" applyBorder="1" applyAlignment="1" applyProtection="1">
      <alignment horizontal="center" vertical="center"/>
    </xf>
    <xf numFmtId="0" fontId="0" fillId="0" borderId="52" xfId="0" quotePrefix="1" applyBorder="1" applyAlignment="1" applyProtection="1">
      <alignment horizontal="center"/>
    </xf>
    <xf numFmtId="3" fontId="25" fillId="0" borderId="2" xfId="0" applyNumberFormat="1" applyFont="1" applyBorder="1" applyAlignment="1" applyProtection="1">
      <alignment horizontal="center" vertical="center"/>
    </xf>
    <xf numFmtId="166" fontId="25" fillId="0" borderId="16" xfId="0" applyNumberFormat="1" applyFont="1" applyBorder="1" applyAlignment="1" applyProtection="1">
      <alignment horizontal="center" vertical="center"/>
    </xf>
    <xf numFmtId="16" fontId="25" fillId="0" borderId="16" xfId="0" quotePrefix="1" applyNumberFormat="1" applyFont="1" applyBorder="1" applyAlignment="1" applyProtection="1">
      <alignment horizontal="center" vertical="center"/>
    </xf>
    <xf numFmtId="3" fontId="25" fillId="0" borderId="14" xfId="0" applyNumberFormat="1" applyFont="1" applyBorder="1" applyAlignment="1" applyProtection="1">
      <alignment horizontal="center" vertical="center"/>
    </xf>
    <xf numFmtId="0" fontId="25" fillId="0" borderId="16" xfId="0" quotePrefix="1" applyFont="1" applyBorder="1" applyAlignment="1" applyProtection="1">
      <alignment horizontal="center" vertical="center"/>
    </xf>
    <xf numFmtId="0" fontId="0" fillId="0" borderId="43" xfId="0" quotePrefix="1" applyBorder="1" applyAlignment="1" applyProtection="1">
      <alignment horizontal="center" vertical="center"/>
    </xf>
    <xf numFmtId="0" fontId="25" fillId="0" borderId="45" xfId="0" quotePrefix="1" applyFont="1" applyBorder="1" applyAlignment="1" applyProtection="1">
      <alignment horizontal="center" vertical="center"/>
    </xf>
    <xf numFmtId="3" fontId="25" fillId="0" borderId="43" xfId="0" applyNumberFormat="1" applyFont="1" applyBorder="1" applyAlignment="1" applyProtection="1">
      <alignment horizontal="center" vertical="center"/>
    </xf>
    <xf numFmtId="3" fontId="25" fillId="0" borderId="44" xfId="0" quotePrefix="1" applyNumberFormat="1" applyFont="1" applyBorder="1" applyAlignment="1" applyProtection="1">
      <alignment horizontal="center" vertical="center"/>
    </xf>
    <xf numFmtId="166" fontId="25" fillId="0" borderId="45" xfId="0" quotePrefix="1" applyNumberFormat="1" applyFont="1" applyBorder="1" applyAlignment="1" applyProtection="1">
      <alignment horizontal="center" vertical="center"/>
    </xf>
    <xf numFmtId="0" fontId="0" fillId="0" borderId="0" xfId="0" applyAlignment="1" applyProtection="1">
      <alignment horizontal="left"/>
    </xf>
    <xf numFmtId="0" fontId="0" fillId="0" borderId="0" xfId="0" quotePrefix="1" applyAlignment="1" applyProtection="1">
      <alignment horizontal="right"/>
    </xf>
    <xf numFmtId="166" fontId="0" fillId="0" borderId="0" xfId="0" applyNumberFormat="1" applyAlignment="1" applyProtection="1">
      <alignment horizontal="left"/>
    </xf>
    <xf numFmtId="166" fontId="0" fillId="0" borderId="0" xfId="0" applyNumberFormat="1" applyAlignment="1" applyProtection="1">
      <alignment horizontal="center"/>
    </xf>
    <xf numFmtId="0" fontId="0" fillId="0" borderId="13" xfId="0" applyBorder="1" applyProtection="1"/>
    <xf numFmtId="0" fontId="0" fillId="0" borderId="42" xfId="0" applyBorder="1" applyProtection="1"/>
    <xf numFmtId="0" fontId="0" fillId="0" borderId="48" xfId="0" applyBorder="1" applyProtection="1"/>
    <xf numFmtId="0" fontId="0" fillId="0" borderId="14" xfId="0" applyBorder="1" applyAlignment="1" applyProtection="1">
      <alignment horizontal="center" wrapText="1"/>
    </xf>
    <xf numFmtId="0" fontId="0" fillId="0" borderId="2" xfId="0" applyBorder="1" applyAlignment="1" applyProtection="1">
      <alignment horizontal="center" wrapText="1"/>
    </xf>
    <xf numFmtId="0" fontId="0" fillId="0" borderId="16" xfId="0" applyBorder="1" applyAlignment="1" applyProtection="1">
      <alignment horizontal="center" wrapText="1"/>
    </xf>
    <xf numFmtId="0" fontId="0" fillId="0" borderId="17" xfId="0" applyBorder="1" applyAlignment="1" applyProtection="1">
      <alignment horizontal="center" wrapText="1"/>
    </xf>
    <xf numFmtId="0" fontId="0" fillId="0" borderId="1" xfId="0" applyBorder="1" applyAlignment="1" applyProtection="1">
      <alignment horizontal="center" wrapText="1"/>
    </xf>
    <xf numFmtId="0" fontId="0" fillId="0" borderId="15" xfId="0" applyBorder="1" applyAlignment="1" applyProtection="1">
      <alignment horizontal="center" wrapText="1"/>
    </xf>
    <xf numFmtId="0" fontId="0" fillId="0" borderId="51" xfId="0" quotePrefix="1" applyBorder="1" applyAlignment="1" applyProtection="1">
      <alignment horizontal="center"/>
    </xf>
    <xf numFmtId="0" fontId="0" fillId="0" borderId="5" xfId="0" quotePrefix="1" applyBorder="1" applyAlignment="1" applyProtection="1">
      <alignment horizontal="center"/>
    </xf>
    <xf numFmtId="16" fontId="0" fillId="0" borderId="2" xfId="0" quotePrefix="1" applyNumberFormat="1" applyBorder="1" applyAlignment="1" applyProtection="1">
      <alignment horizontal="center"/>
    </xf>
    <xf numFmtId="3" fontId="0" fillId="0" borderId="16" xfId="0" applyNumberFormat="1" applyBorder="1" applyAlignment="1" applyProtection="1">
      <alignment horizontal="center"/>
    </xf>
    <xf numFmtId="3" fontId="0" fillId="0" borderId="14" xfId="0" applyNumberFormat="1" applyBorder="1" applyAlignment="1" applyProtection="1">
      <alignment horizontal="center"/>
    </xf>
    <xf numFmtId="166" fontId="0" fillId="0" borderId="2" xfId="0" applyNumberFormat="1" applyBorder="1" applyAlignment="1" applyProtection="1">
      <alignment horizontal="center"/>
    </xf>
    <xf numFmtId="166" fontId="0" fillId="0" borderId="16" xfId="0" applyNumberFormat="1" applyBorder="1" applyAlignment="1" applyProtection="1">
      <alignment horizontal="center"/>
    </xf>
    <xf numFmtId="0" fontId="8" fillId="0" borderId="14" xfId="0" applyFont="1" applyBorder="1" applyAlignment="1" applyProtection="1">
      <alignment horizontal="center"/>
    </xf>
    <xf numFmtId="0" fontId="8" fillId="0" borderId="2" xfId="0" quotePrefix="1" applyFont="1" applyBorder="1" applyAlignment="1" applyProtection="1">
      <alignment horizontal="center"/>
    </xf>
    <xf numFmtId="166" fontId="8" fillId="0" borderId="2" xfId="0" applyNumberFormat="1" applyFont="1" applyBorder="1" applyAlignment="1" applyProtection="1">
      <alignment horizontal="center"/>
    </xf>
    <xf numFmtId="166" fontId="8" fillId="0" borderId="16" xfId="0" applyNumberFormat="1" applyFont="1" applyBorder="1" applyAlignment="1" applyProtection="1">
      <alignment horizontal="center"/>
    </xf>
    <xf numFmtId="0" fontId="0" fillId="0" borderId="19" xfId="0" quotePrefix="1" applyBorder="1" applyAlignment="1" applyProtection="1">
      <alignment horizontal="center"/>
    </xf>
    <xf numFmtId="166" fontId="0" fillId="0" borderId="53" xfId="0" quotePrefix="1" applyNumberFormat="1" applyBorder="1" applyAlignment="1" applyProtection="1">
      <alignment horizontal="center"/>
    </xf>
    <xf numFmtId="166" fontId="0" fillId="0" borderId="19" xfId="0" quotePrefix="1" applyNumberFormat="1" applyBorder="1" applyAlignment="1" applyProtection="1">
      <alignment horizontal="center"/>
    </xf>
    <xf numFmtId="0" fontId="0" fillId="0" borderId="1" xfId="0" applyBorder="1" applyAlignment="1" applyProtection="1">
      <alignment horizontal="center" vertical="top"/>
    </xf>
    <xf numFmtId="0" fontId="0" fillId="0" borderId="7" xfId="0" applyBorder="1" applyAlignment="1" applyProtection="1">
      <alignment horizontal="centerContinuous" vertical="center"/>
    </xf>
    <xf numFmtId="0" fontId="0" fillId="0" borderId="9" xfId="0" applyBorder="1" applyAlignment="1" applyProtection="1">
      <alignment horizontal="centerContinuous" vertical="center"/>
    </xf>
    <xf numFmtId="0" fontId="0" fillId="0" borderId="8" xfId="0" applyBorder="1" applyAlignment="1" applyProtection="1">
      <alignment horizontal="centerContinuous" vertical="center"/>
    </xf>
    <xf numFmtId="0" fontId="0" fillId="0" borderId="0" xfId="0" quotePrefix="1" applyProtection="1"/>
    <xf numFmtId="3" fontId="0" fillId="0" borderId="2" xfId="0" applyNumberFormat="1" applyBorder="1" applyAlignment="1" applyProtection="1">
      <alignment horizontal="center"/>
    </xf>
    <xf numFmtId="0" fontId="0" fillId="0" borderId="2" xfId="0" quotePrefix="1" applyBorder="1" applyAlignment="1" applyProtection="1">
      <alignment horizontal="center"/>
    </xf>
    <xf numFmtId="3" fontId="0" fillId="0" borderId="2" xfId="0" quotePrefix="1" applyNumberFormat="1" applyBorder="1" applyAlignment="1" applyProtection="1">
      <alignment horizontal="center"/>
    </xf>
    <xf numFmtId="3" fontId="0" fillId="0" borderId="0" xfId="0" quotePrefix="1" applyNumberFormat="1" applyProtection="1"/>
    <xf numFmtId="3" fontId="0" fillId="0" borderId="6" xfId="0" applyNumberFormat="1" applyBorder="1" applyAlignment="1" applyProtection="1">
      <alignment horizontal="center"/>
    </xf>
    <xf numFmtId="0" fontId="0" fillId="0" borderId="6" xfId="0" applyBorder="1" applyAlignment="1" applyProtection="1">
      <alignment horizontal="center"/>
    </xf>
    <xf numFmtId="3" fontId="0" fillId="0" borderId="0" xfId="0" applyNumberFormat="1" applyAlignment="1" applyProtection="1">
      <alignment horizontal="left"/>
    </xf>
    <xf numFmtId="0" fontId="0" fillId="0" borderId="1" xfId="0" applyBorder="1" applyAlignment="1" applyProtection="1">
      <alignment horizontal="center" vertical="top" wrapText="1"/>
    </xf>
    <xf numFmtId="0" fontId="26" fillId="0" borderId="2" xfId="0" applyFont="1" applyBorder="1" applyAlignment="1" applyProtection="1">
      <alignment horizontal="center"/>
    </xf>
    <xf numFmtId="0" fontId="8" fillId="0" borderId="0" xfId="0" applyFont="1" applyProtection="1"/>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26" fillId="0" borderId="2" xfId="0" applyFont="1" applyBorder="1" applyAlignment="1" applyProtection="1">
      <alignment horizontal="center" vertical="center"/>
    </xf>
    <xf numFmtId="0" fontId="0" fillId="0" borderId="2" xfId="0" applyBorder="1" applyAlignment="1" applyProtection="1">
      <alignment vertical="center"/>
    </xf>
    <xf numFmtId="0" fontId="0" fillId="0" borderId="2" xfId="0" applyBorder="1" applyAlignment="1" applyProtection="1">
      <alignment horizontal="center" vertical="center"/>
    </xf>
    <xf numFmtId="0" fontId="0" fillId="0" borderId="5" xfId="0" quotePrefix="1" applyBorder="1" applyAlignment="1" applyProtection="1">
      <alignment horizontal="center" vertical="center"/>
    </xf>
    <xf numFmtId="3" fontId="0" fillId="0" borderId="2" xfId="0" applyNumberFormat="1" applyBorder="1" applyAlignment="1" applyProtection="1">
      <alignment horizontal="center" vertical="center"/>
    </xf>
    <xf numFmtId="167" fontId="0" fillId="0" borderId="2" xfId="0" quotePrefix="1" applyNumberFormat="1" applyBorder="1" applyAlignment="1" applyProtection="1">
      <alignment horizontal="center" vertical="center"/>
    </xf>
    <xf numFmtId="167" fontId="0" fillId="0" borderId="1" xfId="0" quotePrefix="1" applyNumberFormat="1" applyBorder="1" applyAlignment="1" applyProtection="1">
      <alignment horizontal="center" vertical="center"/>
    </xf>
    <xf numFmtId="167" fontId="0" fillId="0" borderId="2" xfId="0" applyNumberFormat="1" applyBorder="1" applyAlignment="1" applyProtection="1">
      <alignment horizontal="center" vertical="center"/>
    </xf>
    <xf numFmtId="16" fontId="0" fillId="0" borderId="2" xfId="0" quotePrefix="1" applyNumberFormat="1" applyBorder="1" applyAlignment="1" applyProtection="1">
      <alignment horizontal="center" vertical="center"/>
    </xf>
    <xf numFmtId="0" fontId="0" fillId="0" borderId="2" xfId="0" quotePrefix="1" applyBorder="1" applyAlignment="1" applyProtection="1">
      <alignment horizontal="center" vertical="center"/>
    </xf>
    <xf numFmtId="0" fontId="0" fillId="0" borderId="5" xfId="0" applyBorder="1" applyAlignment="1" applyProtection="1">
      <alignment horizontal="center" vertical="center"/>
    </xf>
    <xf numFmtId="167" fontId="0" fillId="0" borderId="5" xfId="0" quotePrefix="1" applyNumberFormat="1" applyBorder="1" applyAlignment="1" applyProtection="1">
      <alignment horizontal="center" vertical="center"/>
    </xf>
    <xf numFmtId="167" fontId="0" fillId="0" borderId="5" xfId="0" applyNumberFormat="1" applyBorder="1" applyAlignment="1" applyProtection="1">
      <alignment horizontal="center" vertical="center"/>
    </xf>
    <xf numFmtId="0" fontId="0" fillId="0" borderId="6" xfId="0" quotePrefix="1" applyBorder="1" applyAlignment="1" applyProtection="1">
      <alignment horizontal="center" vertical="center"/>
    </xf>
    <xf numFmtId="0" fontId="0" fillId="0" borderId="6" xfId="0" applyBorder="1" applyAlignment="1" applyProtection="1">
      <alignment horizontal="center" vertical="center"/>
    </xf>
    <xf numFmtId="3" fontId="0" fillId="0" borderId="6" xfId="0" applyNumberFormat="1" applyBorder="1" applyAlignment="1" applyProtection="1">
      <alignment horizontal="center" vertical="center"/>
    </xf>
    <xf numFmtId="167" fontId="0" fillId="0" borderId="0" xfId="0" applyNumberFormat="1" applyAlignment="1" applyProtection="1">
      <alignment horizontal="left"/>
    </xf>
    <xf numFmtId="0" fontId="25" fillId="0" borderId="1" xfId="0" applyFont="1" applyBorder="1" applyAlignment="1" applyProtection="1">
      <alignment horizontal="center" vertical="center" wrapText="1"/>
    </xf>
    <xf numFmtId="0" fontId="0" fillId="0" borderId="0" xfId="0" applyAlignment="1" applyProtection="1">
      <alignment wrapText="1"/>
    </xf>
    <xf numFmtId="0" fontId="0" fillId="0" borderId="0" xfId="0" applyAlignment="1" applyProtection="1">
      <alignment horizontal="center" wrapText="1"/>
    </xf>
    <xf numFmtId="0" fontId="0" fillId="0" borderId="2" xfId="0" applyBorder="1" applyAlignment="1" applyProtection="1">
      <alignment horizontal="center" vertical="center" wrapText="1"/>
    </xf>
    <xf numFmtId="0" fontId="0" fillId="0" borderId="5" xfId="0" quotePrefix="1" applyBorder="1" applyAlignment="1" applyProtection="1">
      <alignment horizontal="center" vertical="center" wrapText="1"/>
    </xf>
    <xf numFmtId="0" fontId="8" fillId="0" borderId="2" xfId="0" quotePrefix="1" applyFont="1" applyBorder="1" applyAlignment="1" applyProtection="1">
      <alignment horizontal="center" vertical="center"/>
    </xf>
    <xf numFmtId="16" fontId="8" fillId="0" borderId="2" xfId="0" quotePrefix="1" applyNumberFormat="1" applyFont="1" applyBorder="1" applyAlignment="1" applyProtection="1">
      <alignment horizontal="center" vertical="center"/>
    </xf>
    <xf numFmtId="3" fontId="0" fillId="0" borderId="2" xfId="0" quotePrefix="1" applyNumberFormat="1" applyBorder="1" applyAlignment="1" applyProtection="1">
      <alignment horizontal="center" vertical="center"/>
    </xf>
    <xf numFmtId="0" fontId="8" fillId="0" borderId="2" xfId="0" applyFont="1" applyBorder="1" applyAlignment="1" applyProtection="1">
      <alignment horizontal="center" vertical="center"/>
    </xf>
    <xf numFmtId="3" fontId="0" fillId="0" borderId="6" xfId="0" applyNumberFormat="1" applyBorder="1" applyProtection="1"/>
    <xf numFmtId="3" fontId="0" fillId="0" borderId="6" xfId="0" quotePrefix="1" applyNumberFormat="1" applyBorder="1" applyAlignment="1" applyProtection="1">
      <alignment horizontal="center" vertical="center"/>
    </xf>
    <xf numFmtId="0" fontId="0" fillId="0" borderId="0" xfId="0" quotePrefix="1" applyAlignment="1" applyProtection="1">
      <alignment horizontal="center" vertical="center"/>
    </xf>
    <xf numFmtId="0" fontId="0" fillId="0" borderId="0" xfId="0" applyAlignment="1" applyProtection="1">
      <alignment horizontal="center" vertical="center"/>
    </xf>
    <xf numFmtId="3" fontId="0" fillId="0" borderId="0" xfId="0" quotePrefix="1" applyNumberFormat="1" applyAlignment="1" applyProtection="1">
      <alignment horizontal="right" vertical="center"/>
    </xf>
    <xf numFmtId="0" fontId="0" fillId="35" borderId="0" xfId="0" applyFill="1" applyProtection="1"/>
    <xf numFmtId="0" fontId="0" fillId="0" borderId="8" xfId="0" applyBorder="1" applyAlignment="1" applyProtection="1">
      <alignment horizontal="centerContinuous" vertical="center" wrapText="1"/>
    </xf>
    <xf numFmtId="0" fontId="0" fillId="0" borderId="7" xfId="0" applyBorder="1" applyAlignment="1" applyProtection="1">
      <alignment horizontal="centerContinuous" vertical="center" wrapText="1"/>
    </xf>
    <xf numFmtId="0" fontId="0" fillId="0" borderId="9" xfId="0" applyBorder="1" applyAlignment="1" applyProtection="1">
      <alignment horizontal="centerContinuous" vertical="center" wrapText="1"/>
    </xf>
    <xf numFmtId="0" fontId="0" fillId="0" borderId="0" xfId="0" applyAlignment="1" applyProtection="1">
      <alignment vertical="center" wrapText="1"/>
    </xf>
    <xf numFmtId="0" fontId="0" fillId="0" borderId="0" xfId="0" applyAlignment="1" applyProtection="1">
      <alignment horizontal="center" vertical="center" wrapText="1"/>
    </xf>
    <xf numFmtId="0" fontId="0" fillId="0" borderId="0" xfId="0" applyAlignment="1" applyProtection="1">
      <alignment vertical="center"/>
    </xf>
    <xf numFmtId="0" fontId="0" fillId="0" borderId="5" xfId="0" applyBorder="1" applyAlignment="1" applyProtection="1">
      <alignment horizontal="center" vertical="top" wrapText="1"/>
    </xf>
    <xf numFmtId="166" fontId="0" fillId="0" borderId="2" xfId="0" applyNumberFormat="1" applyBorder="1" applyAlignment="1" applyProtection="1">
      <alignment horizontal="center" vertical="center"/>
    </xf>
    <xf numFmtId="3" fontId="0" fillId="0" borderId="1" xfId="0" quotePrefix="1" applyNumberFormat="1" applyBorder="1" applyAlignment="1" applyProtection="1">
      <alignment horizontal="center"/>
    </xf>
    <xf numFmtId="166" fontId="0" fillId="0" borderId="1" xfId="0" applyNumberFormat="1" applyBorder="1" applyAlignment="1" applyProtection="1">
      <alignment horizontal="center"/>
    </xf>
    <xf numFmtId="0" fontId="0" fillId="0" borderId="1" xfId="0" quotePrefix="1" applyBorder="1" applyAlignment="1" applyProtection="1">
      <alignment horizontal="center"/>
    </xf>
    <xf numFmtId="166" fontId="0" fillId="0" borderId="1" xfId="0" quotePrefix="1" applyNumberFormat="1" applyBorder="1" applyAlignment="1" applyProtection="1">
      <alignment horizontal="center"/>
    </xf>
    <xf numFmtId="166" fontId="0" fillId="0" borderId="2" xfId="0" quotePrefix="1" applyNumberFormat="1" applyBorder="1" applyAlignment="1" applyProtection="1">
      <alignment horizontal="center"/>
    </xf>
    <xf numFmtId="166" fontId="0" fillId="0" borderId="0" xfId="0" quotePrefix="1" applyNumberFormat="1" applyAlignment="1" applyProtection="1">
      <alignment horizontal="center"/>
    </xf>
    <xf numFmtId="165" fontId="0" fillId="0" borderId="2" xfId="0" applyNumberFormat="1" applyBorder="1" applyAlignment="1" applyProtection="1">
      <alignment horizontal="center"/>
    </xf>
    <xf numFmtId="3" fontId="0" fillId="0" borderId="2" xfId="0" applyNumberFormat="1" applyBorder="1" applyAlignment="1" applyProtection="1">
      <alignment horizontal="right" vertical="center"/>
    </xf>
    <xf numFmtId="3" fontId="0" fillId="0" borderId="2" xfId="0" applyNumberFormat="1" applyBorder="1" applyAlignment="1" applyProtection="1">
      <alignment horizontal="right"/>
    </xf>
    <xf numFmtId="168" fontId="0" fillId="0" borderId="0" xfId="0" quotePrefix="1" applyNumberFormat="1" applyAlignment="1" applyProtection="1">
      <alignment horizontal="center"/>
    </xf>
    <xf numFmtId="168" fontId="0" fillId="0" borderId="2" xfId="0" applyNumberFormat="1" applyBorder="1" applyAlignment="1" applyProtection="1">
      <alignment horizontal="center" vertical="center"/>
    </xf>
    <xf numFmtId="0" fontId="0" fillId="0" borderId="0" xfId="0" applyAlignment="1" applyProtection="1">
      <alignment horizontal="center" vertical="top" wrapText="1"/>
    </xf>
    <xf numFmtId="3" fontId="0" fillId="0" borderId="0" xfId="0" applyNumberFormat="1" applyAlignment="1" applyProtection="1">
      <alignment horizontal="right" vertical="center"/>
    </xf>
    <xf numFmtId="3" fontId="0" fillId="0" borderId="5" xfId="0" applyNumberFormat="1" applyBorder="1" applyAlignment="1" applyProtection="1">
      <alignment horizontal="right" vertical="center"/>
    </xf>
    <xf numFmtId="3" fontId="0" fillId="0" borderId="5" xfId="0" quotePrefix="1" applyNumberFormat="1" applyBorder="1" applyAlignment="1" applyProtection="1">
      <alignment horizontal="center"/>
    </xf>
    <xf numFmtId="166" fontId="0" fillId="0" borderId="5" xfId="0" applyNumberFormat="1" applyBorder="1" applyAlignment="1" applyProtection="1">
      <alignment horizontal="center"/>
    </xf>
    <xf numFmtId="3" fontId="0" fillId="0" borderId="6" xfId="0" applyNumberFormat="1" applyBorder="1" applyAlignment="1" applyProtection="1">
      <alignment horizontal="right" vertical="center"/>
    </xf>
    <xf numFmtId="165" fontId="0" fillId="0" borderId="6" xfId="0" applyNumberFormat="1" applyBorder="1" applyAlignment="1" applyProtection="1">
      <alignment horizontal="center"/>
    </xf>
    <xf numFmtId="3" fontId="0" fillId="0" borderId="6" xfId="0" applyNumberFormat="1" applyBorder="1" applyAlignment="1" applyProtection="1">
      <alignment horizontal="right"/>
    </xf>
    <xf numFmtId="167" fontId="0" fillId="0" borderId="2" xfId="0" applyNumberFormat="1" applyBorder="1" applyAlignment="1" applyProtection="1">
      <alignment horizontal="center"/>
    </xf>
    <xf numFmtId="3" fontId="0" fillId="0" borderId="6" xfId="0" quotePrefix="1" applyNumberFormat="1" applyBorder="1" applyAlignment="1" applyProtection="1">
      <alignment horizontal="center"/>
    </xf>
    <xf numFmtId="0" fontId="1" fillId="0" borderId="0" xfId="0" applyFont="1" applyProtection="1"/>
    <xf numFmtId="0" fontId="0" fillId="0" borderId="8" xfId="0" applyBorder="1" applyAlignment="1" applyProtection="1">
      <alignment horizontal="centerContinuous" vertical="top" wrapText="1"/>
    </xf>
    <xf numFmtId="0" fontId="0" fillId="0" borderId="9" xfId="0" applyBorder="1" applyAlignment="1" applyProtection="1">
      <alignment horizontal="centerContinuous" vertical="top" wrapText="1"/>
    </xf>
    <xf numFmtId="0" fontId="0" fillId="0" borderId="5" xfId="0" quotePrefix="1" applyBorder="1" applyAlignment="1" applyProtection="1">
      <alignment horizontal="center" vertical="top" wrapText="1"/>
    </xf>
    <xf numFmtId="166" fontId="0" fillId="0" borderId="6" xfId="0" quotePrefix="1" applyNumberFormat="1" applyBorder="1" applyAlignment="1" applyProtection="1">
      <alignment horizontal="center"/>
    </xf>
    <xf numFmtId="0" fontId="0" fillId="0" borderId="3" xfId="0" applyBorder="1" applyAlignment="1" applyProtection="1">
      <alignment horizontal="center"/>
    </xf>
    <xf numFmtId="0" fontId="0" fillId="0" borderId="57" xfId="0" applyBorder="1" applyAlignment="1" applyProtection="1">
      <alignment horizontal="center"/>
    </xf>
    <xf numFmtId="0" fontId="0" fillId="0" borderId="9" xfId="0" quotePrefix="1" applyBorder="1" applyAlignment="1" applyProtection="1">
      <alignment horizontal="center"/>
    </xf>
    <xf numFmtId="3" fontId="8" fillId="0" borderId="17" xfId="0" applyNumberFormat="1" applyFont="1" applyBorder="1" applyAlignment="1" applyProtection="1">
      <alignment horizontal="center"/>
    </xf>
    <xf numFmtId="3" fontId="0" fillId="0" borderId="15" xfId="0" applyNumberFormat="1" applyBorder="1" applyAlignment="1" applyProtection="1">
      <alignment horizontal="center"/>
    </xf>
    <xf numFmtId="3" fontId="0" fillId="0" borderId="4" xfId="0" applyNumberFormat="1" applyBorder="1" applyAlignment="1" applyProtection="1">
      <alignment horizontal="center"/>
    </xf>
    <xf numFmtId="3" fontId="0" fillId="0" borderId="58" xfId="0" applyNumberFormat="1" applyBorder="1" applyAlignment="1" applyProtection="1">
      <alignment horizontal="center"/>
    </xf>
    <xf numFmtId="3" fontId="8" fillId="0" borderId="14" xfId="0" applyNumberFormat="1" applyFont="1" applyBorder="1" applyAlignment="1" applyProtection="1">
      <alignment horizontal="center"/>
    </xf>
    <xf numFmtId="3" fontId="0" fillId="0" borderId="27" xfId="0" applyNumberFormat="1" applyBorder="1" applyAlignment="1" applyProtection="1">
      <alignment horizontal="center"/>
    </xf>
    <xf numFmtId="3" fontId="0" fillId="0" borderId="59" xfId="0" applyNumberFormat="1" applyBorder="1" applyAlignment="1" applyProtection="1">
      <alignment horizontal="center"/>
    </xf>
    <xf numFmtId="3" fontId="0" fillId="0" borderId="50" xfId="0" applyNumberFormat="1" applyBorder="1" applyAlignment="1" applyProtection="1">
      <alignment horizontal="centerContinuous" vertical="center"/>
    </xf>
    <xf numFmtId="3" fontId="0" fillId="0" borderId="46" xfId="0" applyNumberFormat="1" applyBorder="1" applyAlignment="1" applyProtection="1">
      <alignment horizontal="centerContinuous" vertical="center"/>
    </xf>
    <xf numFmtId="0" fontId="0" fillId="0" borderId="29" xfId="0" applyBorder="1" applyAlignment="1" applyProtection="1">
      <alignment horizontal="center"/>
    </xf>
    <xf numFmtId="0" fontId="0" fillId="0" borderId="30" xfId="0" applyBorder="1" applyAlignment="1" applyProtection="1">
      <alignment horizontal="center"/>
    </xf>
    <xf numFmtId="3" fontId="0" fillId="0" borderId="17" xfId="0" applyNumberFormat="1" applyBorder="1" applyAlignment="1" applyProtection="1">
      <alignment horizontal="center" vertical="center"/>
    </xf>
    <xf numFmtId="3" fontId="0" fillId="0" borderId="1" xfId="0" applyNumberFormat="1" applyBorder="1" applyAlignment="1" applyProtection="1">
      <alignment horizontal="center" vertical="center"/>
    </xf>
    <xf numFmtId="3" fontId="0" fillId="0" borderId="15" xfId="0" applyNumberFormat="1" applyBorder="1" applyAlignment="1" applyProtection="1">
      <alignment horizontal="center" vertical="center"/>
    </xf>
    <xf numFmtId="0" fontId="0" fillId="0" borderId="29" xfId="0" quotePrefix="1" applyBorder="1" applyAlignment="1" applyProtection="1">
      <alignment horizontal="center" vertical="center"/>
    </xf>
    <xf numFmtId="0" fontId="0" fillId="0" borderId="30" xfId="0" quotePrefix="1" applyBorder="1" applyAlignment="1" applyProtection="1">
      <alignment horizontal="center" vertical="center"/>
    </xf>
    <xf numFmtId="3" fontId="0" fillId="0" borderId="1" xfId="0" applyNumberFormat="1" applyBorder="1" applyAlignment="1" applyProtection="1">
      <alignment horizontal="center"/>
    </xf>
    <xf numFmtId="3" fontId="0" fillId="0" borderId="17" xfId="0" applyNumberFormat="1" applyBorder="1" applyAlignment="1" applyProtection="1">
      <alignment horizontal="center"/>
    </xf>
    <xf numFmtId="165" fontId="0" fillId="0" borderId="17" xfId="0" applyNumberFormat="1" applyBorder="1" applyAlignment="1" applyProtection="1">
      <alignment horizontal="center"/>
    </xf>
    <xf numFmtId="165" fontId="0" fillId="0" borderId="1" xfId="0" applyNumberFormat="1" applyBorder="1" applyAlignment="1" applyProtection="1">
      <alignment horizontal="center"/>
    </xf>
    <xf numFmtId="165" fontId="0" fillId="0" borderId="15" xfId="0" applyNumberFormat="1" applyBorder="1" applyAlignment="1" applyProtection="1">
      <alignment horizontal="center"/>
    </xf>
    <xf numFmtId="165" fontId="0" fillId="0" borderId="14" xfId="0" applyNumberFormat="1" applyBorder="1" applyAlignment="1" applyProtection="1">
      <alignment horizontal="center"/>
    </xf>
    <xf numFmtId="165" fontId="0" fillId="0" borderId="16" xfId="0" applyNumberFormat="1" applyBorder="1" applyAlignment="1" applyProtection="1">
      <alignment horizontal="center"/>
    </xf>
    <xf numFmtId="3" fontId="8" fillId="0" borderId="51" xfId="0" applyNumberFormat="1" applyFont="1" applyBorder="1" applyAlignment="1" applyProtection="1">
      <alignment horizontal="center"/>
    </xf>
    <xf numFmtId="3" fontId="0" fillId="0" borderId="5" xfId="0" applyNumberFormat="1" applyBorder="1" applyAlignment="1" applyProtection="1">
      <alignment horizontal="center"/>
    </xf>
    <xf numFmtId="3" fontId="0" fillId="0" borderId="51" xfId="0" applyNumberFormat="1" applyBorder="1" applyAlignment="1" applyProtection="1">
      <alignment horizontal="center"/>
    </xf>
    <xf numFmtId="165" fontId="0" fillId="0" borderId="18" xfId="0" applyNumberFormat="1" applyBorder="1" applyAlignment="1" applyProtection="1">
      <alignment horizontal="center"/>
    </xf>
    <xf numFmtId="165" fontId="0" fillId="0" borderId="53" xfId="0" applyNumberFormat="1" applyBorder="1" applyAlignment="1" applyProtection="1">
      <alignment horizontal="center"/>
    </xf>
    <xf numFmtId="165" fontId="0" fillId="0" borderId="19" xfId="0" applyNumberFormat="1" applyBorder="1" applyAlignment="1" applyProtection="1">
      <alignment horizontal="center"/>
    </xf>
    <xf numFmtId="0" fontId="0" fillId="0" borderId="8" xfId="0" applyBorder="1" applyAlignment="1" applyProtection="1">
      <alignment horizontal="centerContinuous"/>
    </xf>
    <xf numFmtId="0" fontId="0" fillId="0" borderId="7" xfId="0" applyBorder="1" applyAlignment="1" applyProtection="1">
      <alignment horizontal="centerContinuous"/>
    </xf>
    <xf numFmtId="0" fontId="0" fillId="0" borderId="9" xfId="0" applyBorder="1" applyAlignment="1" applyProtection="1">
      <alignment horizontal="centerContinuous"/>
    </xf>
    <xf numFmtId="3" fontId="0" fillId="0" borderId="8" xfId="0" applyNumberFormat="1" applyBorder="1" applyAlignment="1" applyProtection="1">
      <alignment horizontal="centerContinuous" vertical="center"/>
    </xf>
    <xf numFmtId="3" fontId="0" fillId="0" borderId="9" xfId="0" applyNumberFormat="1" applyBorder="1" applyAlignment="1" applyProtection="1">
      <alignment horizontal="centerContinuous" vertical="center"/>
    </xf>
    <xf numFmtId="165" fontId="0" fillId="0" borderId="2" xfId="0" applyNumberFormat="1" applyBorder="1" applyAlignment="1" applyProtection="1">
      <alignment horizontal="center" vertical="center"/>
    </xf>
    <xf numFmtId="0" fontId="0" fillId="0" borderId="53" xfId="0" applyBorder="1" applyAlignment="1" applyProtection="1">
      <alignment horizontal="center"/>
    </xf>
    <xf numFmtId="3" fontId="0" fillId="0" borderId="53" xfId="0" applyNumberFormat="1" applyBorder="1" applyAlignment="1" applyProtection="1">
      <alignment horizontal="center" vertical="center"/>
    </xf>
    <xf numFmtId="165" fontId="0" fillId="0" borderId="53" xfId="0" applyNumberFormat="1" applyBorder="1" applyAlignment="1" applyProtection="1">
      <alignment horizontal="center" vertical="center"/>
    </xf>
    <xf numFmtId="165" fontId="0" fillId="0" borderId="19" xfId="0" applyNumberFormat="1" applyBorder="1" applyAlignment="1" applyProtection="1">
      <alignment horizontal="center" vertical="center"/>
    </xf>
  </cellXfs>
  <cellStyles count="44">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7" xr:uid="{02269FB5-E990-40FE-ADA4-D31193E6CF24}"/>
    <cellStyle name="60% - Accent2 2" xfId="38" xr:uid="{73C5C1B2-0D34-44CB-9133-96EA32D44D18}"/>
    <cellStyle name="60% - Accent3 2" xfId="39" xr:uid="{20862D90-B3FA-465E-88F0-4F2F06F60444}"/>
    <cellStyle name="60% - Accent4 2" xfId="40" xr:uid="{AA1B3A5C-8445-48A1-8B0E-2D8DC53EABBA}"/>
    <cellStyle name="60% - Accent5 2" xfId="41" xr:uid="{B9452659-B9CD-4D8E-9CC5-193DE4DE78ED}"/>
    <cellStyle name="60% - Accent6 2" xfId="42" xr:uid="{2E82E3C1-5E14-4655-B1D1-92652FE0E634}"/>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1" builtinId="8"/>
    <cellStyle name="Input" xfId="8" builtinId="20" customBuiltin="1"/>
    <cellStyle name="Linked Cell" xfId="11" builtinId="24" customBuiltin="1"/>
    <cellStyle name="Neutral 2" xfId="36" xr:uid="{10F4882C-4C69-404C-B143-1F16BD45EB13}"/>
    <cellStyle name="Normal" xfId="0" builtinId="0"/>
    <cellStyle name="Normal 2" xfId="43" xr:uid="{3F7034B4-6AB4-4BB1-A68E-15FC16265C20}"/>
    <cellStyle name="Note" xfId="14" builtinId="10" customBuiltin="1"/>
    <cellStyle name="Output" xfId="9" builtinId="21" customBuiltin="1"/>
    <cellStyle name="Title 2" xfId="35" xr:uid="{D2B4DFDD-6BFB-4613-923E-EB4226B62BB9}"/>
    <cellStyle name="Total" xfId="16" builtinId="25" customBuiltin="1"/>
    <cellStyle name="Warning Text" xfId="1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Computations!$P$445</c:f>
          <c:strCache>
            <c:ptCount val="1"/>
            <c:pt idx="0">
              <c:v>DeKalb County Total Population, 2010</c:v>
            </c:pt>
          </c:strCache>
        </c:strRef>
      </c:tx>
      <c:layout>
        <c:manualLayout>
          <c:xMode val="edge"/>
          <c:yMode val="edge"/>
          <c:x val="0.21426342636314538"/>
          <c:y val="4.586403403328005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623109192782979"/>
          <c:y val="0.15450897109752049"/>
          <c:w val="0.77475918635170604"/>
          <c:h val="0.65429636110936273"/>
        </c:manualLayout>
      </c:layout>
      <c:barChart>
        <c:barDir val="bar"/>
        <c:grouping val="stacked"/>
        <c:varyColors val="0"/>
        <c:ser>
          <c:idx val="0"/>
          <c:order val="0"/>
          <c:tx>
            <c:v>Male</c:v>
          </c:tx>
          <c:spPr>
            <a:solidFill>
              <a:schemeClr val="accent1"/>
            </a:solidFill>
            <a:ln>
              <a:solidFill>
                <a:schemeClr val="tx1"/>
              </a:solidFill>
            </a:ln>
            <a:effectLst/>
          </c:spPr>
          <c:invertIfNegative val="0"/>
          <c:cat>
            <c:strRef>
              <c:f>Computations!$P$448:$P$465</c:f>
              <c:strCache>
                <c:ptCount val="18"/>
                <c:pt idx="0">
                  <c:v>0-4</c:v>
                </c:pt>
                <c:pt idx="1">
                  <c:v>5-9</c:v>
                </c:pt>
                <c:pt idx="2">
                  <c:v>10-14</c:v>
                </c:pt>
                <c:pt idx="3">
                  <c:v>15-19</c:v>
                </c:pt>
                <c:pt idx="4">
                  <c:v>20-24</c:v>
                </c:pt>
                <c:pt idx="5">
                  <c:v>25-29</c:v>
                </c:pt>
                <c:pt idx="6">
                  <c:v>30-34</c:v>
                </c:pt>
                <c:pt idx="7">
                  <c:v>35-39</c:v>
                </c:pt>
                <c:pt idx="8">
                  <c:v>40-44</c:v>
                </c:pt>
                <c:pt idx="9">
                  <c:v>45-49</c:v>
                </c:pt>
                <c:pt idx="10">
                  <c:v>50-54</c:v>
                </c:pt>
                <c:pt idx="11">
                  <c:v>55-59</c:v>
                </c:pt>
                <c:pt idx="12">
                  <c:v>60-64</c:v>
                </c:pt>
                <c:pt idx="13">
                  <c:v>65-69</c:v>
                </c:pt>
                <c:pt idx="14">
                  <c:v>70-74</c:v>
                </c:pt>
                <c:pt idx="15">
                  <c:v>75-79</c:v>
                </c:pt>
                <c:pt idx="16">
                  <c:v>80-84</c:v>
                </c:pt>
                <c:pt idx="17">
                  <c:v>85+</c:v>
                </c:pt>
              </c:strCache>
            </c:strRef>
          </c:cat>
          <c:val>
            <c:numRef>
              <c:f>Computations!$Q$448:$Q$465</c:f>
              <c:numCache>
                <c:formatCode>#,##0</c:formatCode>
                <c:ptCount val="18"/>
                <c:pt idx="0">
                  <c:v>-25856</c:v>
                </c:pt>
                <c:pt idx="1">
                  <c:v>-23110</c:v>
                </c:pt>
                <c:pt idx="2">
                  <c:v>-21915</c:v>
                </c:pt>
                <c:pt idx="3">
                  <c:v>-22737</c:v>
                </c:pt>
                <c:pt idx="4">
                  <c:v>-25555</c:v>
                </c:pt>
                <c:pt idx="5">
                  <c:v>-29422</c:v>
                </c:pt>
                <c:pt idx="6">
                  <c:v>-28134</c:v>
                </c:pt>
                <c:pt idx="7">
                  <c:v>-27346</c:v>
                </c:pt>
                <c:pt idx="8">
                  <c:v>-25043</c:v>
                </c:pt>
                <c:pt idx="9">
                  <c:v>-23810</c:v>
                </c:pt>
                <c:pt idx="10">
                  <c:v>-21027</c:v>
                </c:pt>
                <c:pt idx="11">
                  <c:v>-17928</c:v>
                </c:pt>
                <c:pt idx="12">
                  <c:v>-14530</c:v>
                </c:pt>
                <c:pt idx="13">
                  <c:v>-9311</c:v>
                </c:pt>
                <c:pt idx="14">
                  <c:v>-6107</c:v>
                </c:pt>
                <c:pt idx="15">
                  <c:v>-4182</c:v>
                </c:pt>
                <c:pt idx="16">
                  <c:v>-3046</c:v>
                </c:pt>
                <c:pt idx="17">
                  <c:v>-2296</c:v>
                </c:pt>
              </c:numCache>
            </c:numRef>
          </c:val>
          <c:extLst>
            <c:ext xmlns:c16="http://schemas.microsoft.com/office/drawing/2014/chart" uri="{C3380CC4-5D6E-409C-BE32-E72D297353CC}">
              <c16:uniqueId val="{00000000-0906-400E-B8C3-F35687089716}"/>
            </c:ext>
          </c:extLst>
        </c:ser>
        <c:ser>
          <c:idx val="1"/>
          <c:order val="1"/>
          <c:tx>
            <c:v>Female</c:v>
          </c:tx>
          <c:spPr>
            <a:solidFill>
              <a:srgbClr val="FF0000"/>
            </a:solidFill>
            <a:ln>
              <a:solidFill>
                <a:schemeClr val="tx1"/>
              </a:solidFill>
            </a:ln>
            <a:effectLst/>
          </c:spPr>
          <c:invertIfNegative val="0"/>
          <c:cat>
            <c:strRef>
              <c:f>Computations!$P$448:$P$465</c:f>
              <c:strCache>
                <c:ptCount val="18"/>
                <c:pt idx="0">
                  <c:v>0-4</c:v>
                </c:pt>
                <c:pt idx="1">
                  <c:v>5-9</c:v>
                </c:pt>
                <c:pt idx="2">
                  <c:v>10-14</c:v>
                </c:pt>
                <c:pt idx="3">
                  <c:v>15-19</c:v>
                </c:pt>
                <c:pt idx="4">
                  <c:v>20-24</c:v>
                </c:pt>
                <c:pt idx="5">
                  <c:v>25-29</c:v>
                </c:pt>
                <c:pt idx="6">
                  <c:v>30-34</c:v>
                </c:pt>
                <c:pt idx="7">
                  <c:v>35-39</c:v>
                </c:pt>
                <c:pt idx="8">
                  <c:v>40-44</c:v>
                </c:pt>
                <c:pt idx="9">
                  <c:v>45-49</c:v>
                </c:pt>
                <c:pt idx="10">
                  <c:v>50-54</c:v>
                </c:pt>
                <c:pt idx="11">
                  <c:v>55-59</c:v>
                </c:pt>
                <c:pt idx="12">
                  <c:v>60-64</c:v>
                </c:pt>
                <c:pt idx="13">
                  <c:v>65-69</c:v>
                </c:pt>
                <c:pt idx="14">
                  <c:v>70-74</c:v>
                </c:pt>
                <c:pt idx="15">
                  <c:v>75-79</c:v>
                </c:pt>
                <c:pt idx="16">
                  <c:v>80-84</c:v>
                </c:pt>
                <c:pt idx="17">
                  <c:v>85+</c:v>
                </c:pt>
              </c:strCache>
            </c:strRef>
          </c:cat>
          <c:val>
            <c:numRef>
              <c:f>Computations!$R$448:$R$465</c:f>
              <c:numCache>
                <c:formatCode>#,##0</c:formatCode>
                <c:ptCount val="18"/>
                <c:pt idx="0">
                  <c:v>24551</c:v>
                </c:pt>
                <c:pt idx="1">
                  <c:v>22180</c:v>
                </c:pt>
                <c:pt idx="2">
                  <c:v>20882</c:v>
                </c:pt>
                <c:pt idx="3">
                  <c:v>21906</c:v>
                </c:pt>
                <c:pt idx="4">
                  <c:v>26144</c:v>
                </c:pt>
                <c:pt idx="5">
                  <c:v>31514</c:v>
                </c:pt>
                <c:pt idx="6">
                  <c:v>29579</c:v>
                </c:pt>
                <c:pt idx="7">
                  <c:v>28245</c:v>
                </c:pt>
                <c:pt idx="8">
                  <c:v>26511</c:v>
                </c:pt>
                <c:pt idx="9">
                  <c:v>26424</c:v>
                </c:pt>
                <c:pt idx="10">
                  <c:v>24984</c:v>
                </c:pt>
                <c:pt idx="11">
                  <c:v>22198</c:v>
                </c:pt>
                <c:pt idx="12">
                  <c:v>18134</c:v>
                </c:pt>
                <c:pt idx="13">
                  <c:v>11793</c:v>
                </c:pt>
                <c:pt idx="14">
                  <c:v>8254</c:v>
                </c:pt>
                <c:pt idx="15">
                  <c:v>6552</c:v>
                </c:pt>
                <c:pt idx="16">
                  <c:v>5287</c:v>
                </c:pt>
                <c:pt idx="17">
                  <c:v>5400</c:v>
                </c:pt>
              </c:numCache>
            </c:numRef>
          </c:val>
          <c:extLst>
            <c:ext xmlns:c16="http://schemas.microsoft.com/office/drawing/2014/chart" uri="{C3380CC4-5D6E-409C-BE32-E72D297353CC}">
              <c16:uniqueId val="{00000001-0906-400E-B8C3-F35687089716}"/>
            </c:ext>
          </c:extLst>
        </c:ser>
        <c:dLbls>
          <c:showLegendKey val="0"/>
          <c:showVal val="0"/>
          <c:showCatName val="0"/>
          <c:showSerName val="0"/>
          <c:showPercent val="0"/>
          <c:showBubbleSize val="0"/>
        </c:dLbls>
        <c:gapWidth val="0"/>
        <c:overlap val="100"/>
        <c:axId val="678438448"/>
        <c:axId val="678432544"/>
      </c:barChart>
      <c:catAx>
        <c:axId val="678438448"/>
        <c:scaling>
          <c:orientation val="minMax"/>
        </c:scaling>
        <c:delete val="0"/>
        <c:axPos val="l"/>
        <c:majorGridlines>
          <c:spPr>
            <a:ln w="12700" cap="flat" cmpd="sng" algn="ctr">
              <a:solidFill>
                <a:schemeClr val="bg2">
                  <a:lumMod val="7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50000"/>
                        <a:lumOff val="50000"/>
                      </a:schemeClr>
                    </a:solidFill>
                    <a:latin typeface="+mn-lt"/>
                    <a:ea typeface="+mn-ea"/>
                    <a:cs typeface="+mn-cs"/>
                  </a:defRPr>
                </a:pPr>
                <a:r>
                  <a:rPr lang="en-US" baseline="0">
                    <a:solidFill>
                      <a:schemeClr val="tx1">
                        <a:lumMod val="50000"/>
                        <a:lumOff val="50000"/>
                      </a:schemeClr>
                    </a:solidFill>
                    <a:latin typeface="+mn-lt"/>
                  </a:rPr>
                  <a:t>Age</a:t>
                </a:r>
              </a:p>
              <a:p>
                <a:pPr>
                  <a:defRPr>
                    <a:solidFill>
                      <a:schemeClr val="tx1">
                        <a:lumMod val="50000"/>
                        <a:lumOff val="50000"/>
                      </a:schemeClr>
                    </a:solidFill>
                  </a:defRPr>
                </a:pPr>
                <a:endParaRPr lang="en-US" baseline="0">
                  <a:solidFill>
                    <a:schemeClr val="tx1">
                      <a:lumMod val="50000"/>
                      <a:lumOff val="50000"/>
                    </a:schemeClr>
                  </a:solidFill>
                  <a:latin typeface="+mn-lt"/>
                </a:endParaRPr>
              </a:p>
            </c:rich>
          </c:tx>
          <c:layout>
            <c:manualLayout>
              <c:xMode val="edge"/>
              <c:yMode val="edge"/>
              <c:x val="8.3333333333333332E-3"/>
              <c:y val="0.4518447069116359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50000"/>
                      <a:lumOff val="50000"/>
                    </a:schemeClr>
                  </a:solidFill>
                  <a:latin typeface="+mn-lt"/>
                  <a:ea typeface="+mn-ea"/>
                  <a:cs typeface="+mn-cs"/>
                </a:defRPr>
              </a:pPr>
              <a:endParaRPr lang="en-US"/>
            </a:p>
          </c:txPr>
        </c:title>
        <c:numFmt formatCode="General" sourceLinked="1"/>
        <c:majorTickMark val="out"/>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432544"/>
        <c:crosses val="autoZero"/>
        <c:auto val="1"/>
        <c:lblAlgn val="ctr"/>
        <c:lblOffset val="100"/>
        <c:noMultiLvlLbl val="0"/>
      </c:catAx>
      <c:valAx>
        <c:axId val="678432544"/>
        <c:scaling>
          <c:orientation val="minMax"/>
        </c:scaling>
        <c:delete val="0"/>
        <c:axPos val="b"/>
        <c:majorGridlines>
          <c:spPr>
            <a:ln w="12700" cap="flat" cmpd="sng" algn="ctr">
              <a:solidFill>
                <a:schemeClr val="bg2">
                  <a:lumMod val="7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438448"/>
        <c:crosses val="autoZero"/>
        <c:crossBetween val="between"/>
      </c:valAx>
      <c:spPr>
        <a:noFill/>
        <a:ln w="12700">
          <a:solidFill>
            <a:schemeClr val="bg2">
              <a:lumMod val="50000"/>
            </a:schemeClr>
          </a:solidFill>
        </a:ln>
        <a:effectLst/>
      </c:spPr>
    </c:plotArea>
    <c:legend>
      <c:legendPos val="b"/>
      <c:layout>
        <c:manualLayout>
          <c:xMode val="edge"/>
          <c:yMode val="edge"/>
          <c:x val="0.41052471566054249"/>
          <c:y val="0.87379155730533675"/>
          <c:w val="0.24292797749551229"/>
          <c:h val="6.838808958459158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2">
          <a:lumMod val="50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Computations!$T$445</c:f>
          <c:strCache>
            <c:ptCount val="1"/>
            <c:pt idx="0">
              <c:v>DeKalb County Total Population, 2040</c:v>
            </c:pt>
          </c:strCache>
        </c:strRef>
      </c:tx>
      <c:layout>
        <c:manualLayout>
          <c:xMode val="edge"/>
          <c:yMode val="edge"/>
          <c:x val="0.24614326334208225"/>
          <c:y val="4.833333333333332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180210151578023"/>
          <c:y val="0.15363333333333334"/>
          <c:w val="0.78764001049000887"/>
          <c:h val="0.63612204724409449"/>
        </c:manualLayout>
      </c:layout>
      <c:barChart>
        <c:barDir val="bar"/>
        <c:grouping val="stacked"/>
        <c:varyColors val="0"/>
        <c:ser>
          <c:idx val="0"/>
          <c:order val="0"/>
          <c:tx>
            <c:v>Male</c:v>
          </c:tx>
          <c:spPr>
            <a:solidFill>
              <a:schemeClr val="accent1"/>
            </a:solidFill>
            <a:ln>
              <a:solidFill>
                <a:schemeClr val="tx1"/>
              </a:solidFill>
            </a:ln>
            <a:effectLst/>
          </c:spPr>
          <c:invertIfNegative val="0"/>
          <c:cat>
            <c:strRef>
              <c:f>Computations!$T$448:$T$465</c:f>
              <c:strCache>
                <c:ptCount val="18"/>
                <c:pt idx="0">
                  <c:v>0-4</c:v>
                </c:pt>
                <c:pt idx="1">
                  <c:v>5-9</c:v>
                </c:pt>
                <c:pt idx="2">
                  <c:v>10-14</c:v>
                </c:pt>
                <c:pt idx="3">
                  <c:v>15-19</c:v>
                </c:pt>
                <c:pt idx="4">
                  <c:v>20-24</c:v>
                </c:pt>
                <c:pt idx="5">
                  <c:v>25-29</c:v>
                </c:pt>
                <c:pt idx="6">
                  <c:v>30-34</c:v>
                </c:pt>
                <c:pt idx="7">
                  <c:v>35-39</c:v>
                </c:pt>
                <c:pt idx="8">
                  <c:v>40-44</c:v>
                </c:pt>
                <c:pt idx="9">
                  <c:v>45-49</c:v>
                </c:pt>
                <c:pt idx="10">
                  <c:v>50-54</c:v>
                </c:pt>
                <c:pt idx="11">
                  <c:v>55-59</c:v>
                </c:pt>
                <c:pt idx="12">
                  <c:v>60-64</c:v>
                </c:pt>
                <c:pt idx="13">
                  <c:v>65-69</c:v>
                </c:pt>
                <c:pt idx="14">
                  <c:v>70-74</c:v>
                </c:pt>
                <c:pt idx="15">
                  <c:v>75-79</c:v>
                </c:pt>
                <c:pt idx="16">
                  <c:v>80-84</c:v>
                </c:pt>
                <c:pt idx="17">
                  <c:v>85+</c:v>
                </c:pt>
              </c:strCache>
            </c:strRef>
          </c:cat>
          <c:val>
            <c:numRef>
              <c:f>Computations!$U$448:$U$465</c:f>
              <c:numCache>
                <c:formatCode>#,##0</c:formatCode>
                <c:ptCount val="18"/>
                <c:pt idx="0">
                  <c:v>-27590.047130939998</c:v>
                </c:pt>
                <c:pt idx="1">
                  <c:v>-25698.227072474703</c:v>
                </c:pt>
                <c:pt idx="2">
                  <c:v>-24578.572368901769</c:v>
                </c:pt>
                <c:pt idx="3">
                  <c:v>-25222.032351407081</c:v>
                </c:pt>
                <c:pt idx="4">
                  <c:v>-29382.314393533634</c:v>
                </c:pt>
                <c:pt idx="5">
                  <c:v>-32219.777271335704</c:v>
                </c:pt>
                <c:pt idx="6">
                  <c:v>-31496.840265778534</c:v>
                </c:pt>
                <c:pt idx="7">
                  <c:v>-27552.826008822805</c:v>
                </c:pt>
                <c:pt idx="8">
                  <c:v>-24100.646082890475</c:v>
                </c:pt>
                <c:pt idx="9">
                  <c:v>-21506.688899642915</c:v>
                </c:pt>
                <c:pt idx="10">
                  <c:v>-18621.905481658116</c:v>
                </c:pt>
                <c:pt idx="11">
                  <c:v>-18633.075631376556</c:v>
                </c:pt>
                <c:pt idx="12">
                  <c:v>-16458.377493972759</c:v>
                </c:pt>
                <c:pt idx="13">
                  <c:v>-15108.037098287445</c:v>
                </c:pt>
                <c:pt idx="14">
                  <c:v>-12415.518361200793</c:v>
                </c:pt>
                <c:pt idx="15">
                  <c:v>-10532.269493410015</c:v>
                </c:pt>
                <c:pt idx="16">
                  <c:v>-7293.1370159570661</c:v>
                </c:pt>
                <c:pt idx="17">
                  <c:v>-5380.0716943692923</c:v>
                </c:pt>
              </c:numCache>
            </c:numRef>
          </c:val>
          <c:extLst>
            <c:ext xmlns:c16="http://schemas.microsoft.com/office/drawing/2014/chart" uri="{C3380CC4-5D6E-409C-BE32-E72D297353CC}">
              <c16:uniqueId val="{00000000-9127-4F1D-8C2C-DC4C9A41A356}"/>
            </c:ext>
          </c:extLst>
        </c:ser>
        <c:ser>
          <c:idx val="1"/>
          <c:order val="1"/>
          <c:tx>
            <c:v>Female</c:v>
          </c:tx>
          <c:spPr>
            <a:solidFill>
              <a:srgbClr val="FF0000"/>
            </a:solidFill>
            <a:ln>
              <a:solidFill>
                <a:schemeClr val="tx1"/>
              </a:solidFill>
            </a:ln>
            <a:effectLst/>
          </c:spPr>
          <c:invertIfNegative val="0"/>
          <c:cat>
            <c:strRef>
              <c:f>Computations!$T$448:$T$465</c:f>
              <c:strCache>
                <c:ptCount val="18"/>
                <c:pt idx="0">
                  <c:v>0-4</c:v>
                </c:pt>
                <c:pt idx="1">
                  <c:v>5-9</c:v>
                </c:pt>
                <c:pt idx="2">
                  <c:v>10-14</c:v>
                </c:pt>
                <c:pt idx="3">
                  <c:v>15-19</c:v>
                </c:pt>
                <c:pt idx="4">
                  <c:v>20-24</c:v>
                </c:pt>
                <c:pt idx="5">
                  <c:v>25-29</c:v>
                </c:pt>
                <c:pt idx="6">
                  <c:v>30-34</c:v>
                </c:pt>
                <c:pt idx="7">
                  <c:v>35-39</c:v>
                </c:pt>
                <c:pt idx="8">
                  <c:v>40-44</c:v>
                </c:pt>
                <c:pt idx="9">
                  <c:v>45-49</c:v>
                </c:pt>
                <c:pt idx="10">
                  <c:v>50-54</c:v>
                </c:pt>
                <c:pt idx="11">
                  <c:v>55-59</c:v>
                </c:pt>
                <c:pt idx="12">
                  <c:v>60-64</c:v>
                </c:pt>
                <c:pt idx="13">
                  <c:v>65-69</c:v>
                </c:pt>
                <c:pt idx="14">
                  <c:v>70-74</c:v>
                </c:pt>
                <c:pt idx="15">
                  <c:v>75-79</c:v>
                </c:pt>
                <c:pt idx="16">
                  <c:v>80-84</c:v>
                </c:pt>
                <c:pt idx="17">
                  <c:v>85+</c:v>
                </c:pt>
              </c:strCache>
            </c:strRef>
          </c:cat>
          <c:val>
            <c:numRef>
              <c:f>Computations!$V$448:$V$465</c:f>
              <c:numCache>
                <c:formatCode>#,##0</c:formatCode>
                <c:ptCount val="18"/>
                <c:pt idx="0">
                  <c:v>26256.677959919129</c:v>
                </c:pt>
                <c:pt idx="1">
                  <c:v>24585.158045417571</c:v>
                </c:pt>
                <c:pt idx="2">
                  <c:v>23441.169328345943</c:v>
                </c:pt>
                <c:pt idx="3">
                  <c:v>24756.845520263789</c:v>
                </c:pt>
                <c:pt idx="4">
                  <c:v>30082.635810776977</c:v>
                </c:pt>
                <c:pt idx="5">
                  <c:v>33190.150360972308</c:v>
                </c:pt>
                <c:pt idx="6">
                  <c:v>31864.972043437818</c:v>
                </c:pt>
                <c:pt idx="7">
                  <c:v>28456.188374972884</c:v>
                </c:pt>
                <c:pt idx="8">
                  <c:v>25858.928572166569</c:v>
                </c:pt>
                <c:pt idx="9">
                  <c:v>23586.002291076853</c:v>
                </c:pt>
                <c:pt idx="10">
                  <c:v>21300.881988811696</c:v>
                </c:pt>
                <c:pt idx="11">
                  <c:v>22385.246309441682</c:v>
                </c:pt>
                <c:pt idx="12">
                  <c:v>20100.989919396918</c:v>
                </c:pt>
                <c:pt idx="13">
                  <c:v>18750.97554404063</c:v>
                </c:pt>
                <c:pt idx="14">
                  <c:v>16529.847321629142</c:v>
                </c:pt>
                <c:pt idx="15">
                  <c:v>15169.163634305874</c:v>
                </c:pt>
                <c:pt idx="16">
                  <c:v>11996.300490262465</c:v>
                </c:pt>
                <c:pt idx="17">
                  <c:v>11207.362404945561</c:v>
                </c:pt>
              </c:numCache>
            </c:numRef>
          </c:val>
          <c:extLst>
            <c:ext xmlns:c16="http://schemas.microsoft.com/office/drawing/2014/chart" uri="{C3380CC4-5D6E-409C-BE32-E72D297353CC}">
              <c16:uniqueId val="{00000001-9127-4F1D-8C2C-DC4C9A41A356}"/>
            </c:ext>
          </c:extLst>
        </c:ser>
        <c:dLbls>
          <c:showLegendKey val="0"/>
          <c:showVal val="0"/>
          <c:showCatName val="0"/>
          <c:showSerName val="0"/>
          <c:showPercent val="0"/>
          <c:showBubbleSize val="0"/>
        </c:dLbls>
        <c:gapWidth val="0"/>
        <c:overlap val="100"/>
        <c:axId val="678447960"/>
        <c:axId val="678444352"/>
      </c:barChart>
      <c:catAx>
        <c:axId val="678447960"/>
        <c:scaling>
          <c:orientation val="minMax"/>
        </c:scaling>
        <c:delete val="0"/>
        <c:axPos val="l"/>
        <c:majorGridlines>
          <c:spPr>
            <a:ln w="12700" cap="flat" cmpd="sng" algn="ctr">
              <a:solidFill>
                <a:schemeClr val="bg2">
                  <a:lumMod val="7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Age</a:t>
                </a:r>
              </a:p>
              <a:p>
                <a:pPr>
                  <a:defRPr/>
                </a:pPr>
                <a:endParaRPr lang="en-US" baseline="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444352"/>
        <c:crosses val="autoZero"/>
        <c:auto val="1"/>
        <c:lblAlgn val="ctr"/>
        <c:lblOffset val="100"/>
        <c:noMultiLvlLbl val="0"/>
      </c:catAx>
      <c:valAx>
        <c:axId val="678444352"/>
        <c:scaling>
          <c:orientation val="minMax"/>
        </c:scaling>
        <c:delete val="0"/>
        <c:axPos val="b"/>
        <c:majorGridlines>
          <c:spPr>
            <a:ln w="12700" cap="flat" cmpd="sng" algn="ctr">
              <a:solidFill>
                <a:schemeClr val="bg2">
                  <a:lumMod val="7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447960"/>
        <c:crosses val="autoZero"/>
        <c:crossBetween val="between"/>
      </c:valAx>
      <c:spPr>
        <a:noFill/>
        <a:ln>
          <a:solidFill>
            <a:schemeClr val="bg2">
              <a:lumMod val="75000"/>
            </a:schemeClr>
          </a:solidFill>
        </a:ln>
        <a:effectLst/>
      </c:spPr>
    </c:plotArea>
    <c:legend>
      <c:legendPos val="b"/>
      <c:layout>
        <c:manualLayout>
          <c:xMode val="edge"/>
          <c:yMode val="edge"/>
          <c:x val="0.42078062117235343"/>
          <c:y val="0.85541622922134719"/>
          <c:w val="0.21482045621126306"/>
          <c:h val="5.625039370078740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bg2">
          <a:lumMod val="50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581027</xdr:colOff>
      <xdr:row>27</xdr:row>
      <xdr:rowOff>180974</xdr:rowOff>
    </xdr:from>
    <xdr:to>
      <xdr:col>8</xdr:col>
      <xdr:colOff>276227</xdr:colOff>
      <xdr:row>51</xdr:row>
      <xdr:rowOff>180974</xdr:rowOff>
    </xdr:to>
    <xdr:graphicFrame macro="">
      <xdr:nvGraphicFramePr>
        <xdr:cNvPr id="2" name="Chart 1">
          <a:extLst>
            <a:ext uri="{FF2B5EF4-FFF2-40B4-BE49-F238E27FC236}">
              <a16:creationId xmlns:a16="http://schemas.microsoft.com/office/drawing/2014/main" id="{0A721C32-E200-4FF4-A9EA-6B67D6A274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285749</xdr:colOff>
      <xdr:row>27</xdr:row>
      <xdr:rowOff>171450</xdr:rowOff>
    </xdr:from>
    <xdr:to>
      <xdr:col>16</xdr:col>
      <xdr:colOff>333374</xdr:colOff>
      <xdr:row>51</xdr:row>
      <xdr:rowOff>171450</xdr:rowOff>
    </xdr:to>
    <xdr:graphicFrame macro="">
      <xdr:nvGraphicFramePr>
        <xdr:cNvPr id="3" name="Chart 2">
          <a:extLst>
            <a:ext uri="{FF2B5EF4-FFF2-40B4-BE49-F238E27FC236}">
              <a16:creationId xmlns:a16="http://schemas.microsoft.com/office/drawing/2014/main" id="{6FBF06D0-F381-49A5-8DAE-F1F7486915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extbook/Tools/Share/Share_1.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Input"/>
      <sheetName val="Sample Data"/>
      <sheetName val="Computations"/>
      <sheetName val="Output"/>
    </sheetNames>
    <sheetDataSet>
      <sheetData sheetId="0" refreshError="1"/>
      <sheetData sheetId="1" refreshError="1"/>
      <sheetData sheetId="2" refreshError="1"/>
      <sheetData sheetId="3">
        <row r="11">
          <cell r="K11">
            <v>1</v>
          </cell>
        </row>
        <row r="18">
          <cell r="K18" t="b">
            <v>1</v>
          </cell>
        </row>
        <row r="19">
          <cell r="K19" t="b">
            <v>1</v>
          </cell>
        </row>
        <row r="22">
          <cell r="K22" t="str">
            <v>2040</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ck.klosterman@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686BD-B816-4D48-9ECC-A7CEB3354FBB}">
  <dimension ref="A1:B57"/>
  <sheetViews>
    <sheetView tabSelected="1" workbookViewId="0"/>
  </sheetViews>
  <sheetFormatPr defaultRowHeight="15" x14ac:dyDescent="0.25"/>
  <cols>
    <col min="1" max="1" width="98.140625" customWidth="1"/>
  </cols>
  <sheetData>
    <row r="1" spans="1:2" ht="21" customHeight="1" x14ac:dyDescent="0.25">
      <c r="A1" s="1" t="s">
        <v>36</v>
      </c>
    </row>
    <row r="2" spans="1:2" ht="15.75" x14ac:dyDescent="0.25">
      <c r="A2" s="2"/>
    </row>
    <row r="3" spans="1:2" ht="63" x14ac:dyDescent="0.25">
      <c r="A3" s="3" t="s">
        <v>176</v>
      </c>
      <c r="B3" s="4"/>
    </row>
    <row r="4" spans="1:2" ht="15.75" x14ac:dyDescent="0.25">
      <c r="A4" s="3"/>
      <c r="B4" s="4"/>
    </row>
    <row r="5" spans="1:2" ht="78.75" x14ac:dyDescent="0.25">
      <c r="A5" s="3" t="s">
        <v>193</v>
      </c>
      <c r="B5" s="4"/>
    </row>
    <row r="6" spans="1:2" ht="15.75" x14ac:dyDescent="0.25">
      <c r="A6" s="3"/>
      <c r="B6" s="4"/>
    </row>
    <row r="7" spans="1:2" ht="11.25" customHeight="1" x14ac:dyDescent="0.25">
      <c r="A7" s="5" t="s">
        <v>0</v>
      </c>
      <c r="B7" s="4" t="s">
        <v>1</v>
      </c>
    </row>
    <row r="8" spans="1:2" ht="15.75" x14ac:dyDescent="0.25">
      <c r="A8" s="3"/>
    </row>
    <row r="9" spans="1:2" ht="27" customHeight="1" x14ac:dyDescent="0.25">
      <c r="A9" s="5" t="s">
        <v>2</v>
      </c>
      <c r="B9" s="8" t="s">
        <v>3</v>
      </c>
    </row>
    <row r="10" spans="1:2" ht="15.75" x14ac:dyDescent="0.25">
      <c r="A10" s="5"/>
      <c r="B10" s="4"/>
    </row>
    <row r="11" spans="1:2" ht="15.75" customHeight="1" x14ac:dyDescent="0.25">
      <c r="A11" s="6" t="s">
        <v>4</v>
      </c>
    </row>
    <row r="12" spans="1:2" ht="15.75" x14ac:dyDescent="0.25">
      <c r="A12" s="7"/>
    </row>
    <row r="13" spans="1:2" ht="15.75" x14ac:dyDescent="0.25">
      <c r="A13" s="7" t="s">
        <v>177</v>
      </c>
    </row>
    <row r="14" spans="1:2" ht="15.75" x14ac:dyDescent="0.25">
      <c r="A14" s="7"/>
    </row>
    <row r="15" spans="1:2" ht="31.5" x14ac:dyDescent="0.25">
      <c r="A15" s="7" t="s">
        <v>178</v>
      </c>
    </row>
    <row r="16" spans="1:2" ht="15.75" x14ac:dyDescent="0.25">
      <c r="A16" s="7"/>
    </row>
    <row r="17" spans="1:1" ht="12.75" customHeight="1" x14ac:dyDescent="0.25">
      <c r="A17" s="7" t="s">
        <v>194</v>
      </c>
    </row>
    <row r="18" spans="1:1" ht="15.75" x14ac:dyDescent="0.25">
      <c r="A18" s="7"/>
    </row>
    <row r="19" spans="1:1" ht="31.5" x14ac:dyDescent="0.25">
      <c r="A19" s="7" t="s">
        <v>179</v>
      </c>
    </row>
    <row r="20" spans="1:1" ht="15.75" x14ac:dyDescent="0.25">
      <c r="A20" s="7"/>
    </row>
    <row r="21" spans="1:1" ht="47.25" x14ac:dyDescent="0.25">
      <c r="A21" s="7" t="s">
        <v>186</v>
      </c>
    </row>
    <row r="22" spans="1:1" ht="15.75" x14ac:dyDescent="0.25">
      <c r="A22" s="7"/>
    </row>
    <row r="23" spans="1:1" ht="15.75" customHeight="1" x14ac:dyDescent="0.25">
      <c r="A23" s="6" t="s">
        <v>5</v>
      </c>
    </row>
    <row r="24" spans="1:1" ht="15.75" x14ac:dyDescent="0.25">
      <c r="A24" s="7"/>
    </row>
    <row r="25" spans="1:1" ht="17.25" customHeight="1" x14ac:dyDescent="0.25">
      <c r="A25" s="7" t="s">
        <v>195</v>
      </c>
    </row>
    <row r="27" spans="1:1" ht="15.75" x14ac:dyDescent="0.25">
      <c r="A27" s="7" t="s">
        <v>180</v>
      </c>
    </row>
    <row r="28" spans="1:1" ht="15.75" x14ac:dyDescent="0.25">
      <c r="A28" s="7"/>
    </row>
    <row r="29" spans="1:1" ht="15.75" x14ac:dyDescent="0.25">
      <c r="A29" s="7" t="s">
        <v>181</v>
      </c>
    </row>
    <row r="30" spans="1:1" ht="15.75" x14ac:dyDescent="0.25">
      <c r="A30" s="7"/>
    </row>
    <row r="31" spans="1:1" ht="15.75" x14ac:dyDescent="0.25">
      <c r="A31" s="7" t="s">
        <v>187</v>
      </c>
    </row>
    <row r="32" spans="1:1" ht="15.75" x14ac:dyDescent="0.25">
      <c r="A32" s="7"/>
    </row>
    <row r="33" spans="1:1" ht="15.75" x14ac:dyDescent="0.25">
      <c r="A33" s="7" t="s">
        <v>182</v>
      </c>
    </row>
    <row r="34" spans="1:1" ht="15.75" x14ac:dyDescent="0.25">
      <c r="A34" s="7"/>
    </row>
    <row r="35" spans="1:1" ht="15.75" x14ac:dyDescent="0.25">
      <c r="A35" s="7" t="s">
        <v>188</v>
      </c>
    </row>
    <row r="37" spans="1:1" ht="31.5" x14ac:dyDescent="0.25">
      <c r="A37" s="7" t="s">
        <v>189</v>
      </c>
    </row>
    <row r="38" spans="1:1" ht="15.75" x14ac:dyDescent="0.25">
      <c r="A38" s="7"/>
    </row>
    <row r="39" spans="1:1" ht="31.5" x14ac:dyDescent="0.25">
      <c r="A39" s="7" t="s">
        <v>185</v>
      </c>
    </row>
    <row r="40" spans="1:1" ht="15.75" x14ac:dyDescent="0.25">
      <c r="A40" s="7"/>
    </row>
    <row r="41" spans="1:1" ht="31.5" x14ac:dyDescent="0.25">
      <c r="A41" s="7" t="s">
        <v>183</v>
      </c>
    </row>
    <row r="42" spans="1:1" ht="15.75" x14ac:dyDescent="0.25">
      <c r="A42" s="7"/>
    </row>
    <row r="43" spans="1:1" ht="31.5" x14ac:dyDescent="0.25">
      <c r="A43" s="24" t="s">
        <v>184</v>
      </c>
    </row>
    <row r="44" spans="1:1" ht="15.75" x14ac:dyDescent="0.25">
      <c r="A44" s="24"/>
    </row>
    <row r="45" spans="1:1" ht="31.5" x14ac:dyDescent="0.25">
      <c r="A45" s="24" t="s">
        <v>190</v>
      </c>
    </row>
    <row r="46" spans="1:1" ht="15.75" x14ac:dyDescent="0.25">
      <c r="A46" s="24"/>
    </row>
    <row r="47" spans="1:1" ht="47.25" x14ac:dyDescent="0.25">
      <c r="A47" s="24" t="s">
        <v>191</v>
      </c>
    </row>
    <row r="48" spans="1:1" ht="15.75" x14ac:dyDescent="0.25">
      <c r="A48" s="7"/>
    </row>
    <row r="49" spans="1:1" ht="31.5" x14ac:dyDescent="0.25">
      <c r="A49" s="7" t="s">
        <v>196</v>
      </c>
    </row>
    <row r="50" spans="1:1" ht="15.75" x14ac:dyDescent="0.25">
      <c r="A50" s="7"/>
    </row>
    <row r="51" spans="1:1" ht="15.75" x14ac:dyDescent="0.25">
      <c r="A51" s="6" t="s">
        <v>33</v>
      </c>
    </row>
    <row r="52" spans="1:1" ht="15.75" x14ac:dyDescent="0.25">
      <c r="A52" s="7"/>
    </row>
    <row r="53" spans="1:1" ht="31.5" x14ac:dyDescent="0.25">
      <c r="A53" s="7" t="s">
        <v>34</v>
      </c>
    </row>
    <row r="55" spans="1:1" ht="45" x14ac:dyDescent="0.25">
      <c r="A55" s="10" t="s">
        <v>192</v>
      </c>
    </row>
    <row r="57" spans="1:1" ht="30" x14ac:dyDescent="0.25">
      <c r="A57" s="10" t="s">
        <v>35</v>
      </c>
    </row>
  </sheetData>
  <sheetProtection password="DF21" sheet="1" formatCells="0" formatColumns="0" formatRows="0"/>
  <hyperlinks>
    <hyperlink ref="B9" r:id="rId1" xr:uid="{33B5A088-6EFD-42B0-A764-56905306E3B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6C5B2-EAD7-4801-8CF5-7F9A4E520603}">
  <dimension ref="B1:AQ32"/>
  <sheetViews>
    <sheetView workbookViewId="0">
      <selection activeCell="C8" sqref="C8"/>
    </sheetView>
  </sheetViews>
  <sheetFormatPr defaultRowHeight="15" x14ac:dyDescent="0.25"/>
  <cols>
    <col min="1" max="1" width="9.140625" style="25"/>
    <col min="2" max="2" width="24.28515625" style="25" customWidth="1"/>
    <col min="3" max="3" width="15" style="25" customWidth="1"/>
    <col min="4" max="6" width="9.140625" style="25"/>
    <col min="7" max="7" width="12.42578125" style="25" customWidth="1"/>
    <col min="8" max="8" width="10.7109375" style="25" bestFit="1" customWidth="1"/>
    <col min="9" max="9" width="9.140625" style="25"/>
    <col min="10" max="10" width="13.42578125" style="25" customWidth="1"/>
    <col min="11" max="13" width="9.140625" style="25"/>
    <col min="14" max="16" width="7.5703125" style="25" bestFit="1" customWidth="1"/>
    <col min="17" max="17" width="9.42578125" style="25" customWidth="1"/>
    <col min="18" max="18" width="7.5703125" style="25" bestFit="1" customWidth="1"/>
    <col min="19" max="20" width="9.140625" style="25"/>
    <col min="21" max="21" width="12" style="25" customWidth="1"/>
    <col min="22" max="23" width="11.140625" style="25" bestFit="1" customWidth="1"/>
    <col min="24" max="24" width="11.140625" style="25" customWidth="1"/>
    <col min="25" max="27" width="9.140625" style="25"/>
    <col min="28" max="43" width="11.140625" style="25" bestFit="1" customWidth="1"/>
    <col min="44" max="16384" width="9.140625" style="25"/>
  </cols>
  <sheetData>
    <row r="1" spans="2:43" ht="15.75" thickBot="1" x14ac:dyDescent="0.3"/>
    <row r="2" spans="2:43" ht="15.75" thickTop="1" x14ac:dyDescent="0.25">
      <c r="B2" s="26" t="s">
        <v>37</v>
      </c>
      <c r="C2" s="27"/>
      <c r="D2" s="27"/>
      <c r="E2" s="27"/>
      <c r="F2" s="27"/>
      <c r="G2" s="27"/>
      <c r="H2" s="27"/>
      <c r="I2" s="27"/>
      <c r="J2" s="27"/>
      <c r="K2" s="27"/>
      <c r="L2" s="27"/>
      <c r="M2" s="27"/>
      <c r="N2" s="27"/>
      <c r="O2" s="27"/>
      <c r="P2" s="27"/>
      <c r="Q2" s="27"/>
      <c r="R2" s="27"/>
      <c r="S2" s="27"/>
      <c r="T2" s="27"/>
      <c r="U2" s="27"/>
      <c r="V2" s="28"/>
      <c r="W2" s="28"/>
      <c r="X2" s="28"/>
      <c r="Y2" s="28"/>
      <c r="Z2" s="28"/>
      <c r="AA2" s="28"/>
      <c r="AB2" s="28"/>
      <c r="AC2" s="28"/>
      <c r="AD2" s="28"/>
      <c r="AE2" s="28"/>
      <c r="AF2" s="28"/>
      <c r="AG2" s="28"/>
      <c r="AH2" s="28"/>
      <c r="AI2" s="28"/>
      <c r="AJ2" s="28"/>
      <c r="AK2" s="28"/>
      <c r="AL2" s="28"/>
      <c r="AM2" s="28"/>
      <c r="AN2" s="28"/>
      <c r="AO2" s="28"/>
      <c r="AP2" s="29"/>
    </row>
    <row r="3" spans="2:43" x14ac:dyDescent="0.25">
      <c r="B3" s="30"/>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2"/>
    </row>
    <row r="4" spans="2:43" x14ac:dyDescent="0.25">
      <c r="B4" s="30" t="s">
        <v>22</v>
      </c>
      <c r="C4" s="25" t="str">
        <f>IF(target.year&gt;launch.year+30, "Lauch Year Cannot Exceed "&amp;launch.year+30,"Cohort-Component Projections: "&amp;study.area&amp;" "&amp;population&amp;" Population, "&amp;target.year)</f>
        <v>Cohort-Component Projections: DeKalb County Total Population, 2040</v>
      </c>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2"/>
    </row>
    <row r="5" spans="2:43" x14ac:dyDescent="0.25">
      <c r="B5" s="30"/>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2"/>
    </row>
    <row r="6" spans="2:43" x14ac:dyDescent="0.25">
      <c r="B6" s="30"/>
      <c r="E6" s="33" t="str">
        <f>study.area&amp;" "&amp;population&amp;" Population"</f>
        <v>DeKalb County Total Population</v>
      </c>
      <c r="F6" s="33"/>
      <c r="G6" s="33"/>
      <c r="H6" s="33"/>
      <c r="I6" s="33"/>
      <c r="J6" s="33"/>
      <c r="K6" s="31"/>
      <c r="L6" s="31"/>
      <c r="M6" s="34" t="str">
        <f>study.area&amp;" Live Births: "&amp;population&amp;" Population, "&amp;launch.year-5&amp;" and "&amp;launch.year</f>
        <v>DeKalb County Live Births: Total Population, 2005 and 2010</v>
      </c>
      <c r="N6" s="34"/>
      <c r="O6" s="34"/>
      <c r="P6" s="34"/>
      <c r="Q6" s="34"/>
      <c r="R6" s="34"/>
      <c r="T6" s="34" t="str">
        <f>C12&amp;" Life Table: "&amp;population&amp;" Population, "&amp;launch.year</f>
        <v>United States Life Table: Total Population, 2010</v>
      </c>
      <c r="U6" s="33"/>
      <c r="V6" s="34"/>
      <c r="W6" s="34"/>
      <c r="X6" s="34"/>
      <c r="Y6" s="31"/>
      <c r="Z6" s="35" t="str">
        <f>C12&amp;" "&amp;population&amp;" Population "</f>
        <v xml:space="preserve">United States Total Population </v>
      </c>
      <c r="AA6" s="36"/>
      <c r="AB6" s="36"/>
      <c r="AC6" s="36"/>
      <c r="AD6" s="36"/>
      <c r="AE6" s="36"/>
      <c r="AF6" s="36"/>
      <c r="AG6" s="36"/>
      <c r="AH6" s="36"/>
      <c r="AI6" s="36"/>
      <c r="AJ6" s="36"/>
      <c r="AK6" s="36"/>
      <c r="AL6" s="36"/>
      <c r="AM6" s="36"/>
      <c r="AN6" s="36"/>
      <c r="AO6" s="36"/>
      <c r="AP6" s="32"/>
    </row>
    <row r="7" spans="2:43" ht="15.75" thickBot="1" x14ac:dyDescent="0.3">
      <c r="B7" s="30"/>
      <c r="K7" s="31"/>
      <c r="L7" s="31"/>
      <c r="M7" s="31"/>
      <c r="N7" s="31"/>
      <c r="O7" s="31"/>
      <c r="P7" s="31"/>
      <c r="Q7" s="31"/>
      <c r="R7" s="31"/>
      <c r="T7" s="31"/>
      <c r="U7" s="31"/>
      <c r="V7" s="31"/>
      <c r="W7" s="31"/>
      <c r="X7" s="31"/>
      <c r="Y7" s="31"/>
      <c r="Z7" s="31"/>
      <c r="AA7" s="31"/>
      <c r="AB7" s="31"/>
      <c r="AC7" s="31"/>
      <c r="AD7" s="31"/>
      <c r="AE7" s="31"/>
      <c r="AF7" s="31"/>
      <c r="AG7" s="31"/>
      <c r="AH7" s="31"/>
      <c r="AI7" s="31"/>
      <c r="AJ7" s="31"/>
      <c r="AK7" s="31"/>
      <c r="AL7" s="31"/>
      <c r="AM7" s="31"/>
      <c r="AN7" s="31"/>
      <c r="AO7" s="31"/>
      <c r="AP7" s="32"/>
    </row>
    <row r="8" spans="2:43" ht="18" x14ac:dyDescent="0.35">
      <c r="B8" s="30" t="s">
        <v>25</v>
      </c>
      <c r="C8" s="9" t="s">
        <v>175</v>
      </c>
      <c r="D8" s="37"/>
      <c r="E8" s="38" t="s">
        <v>6</v>
      </c>
      <c r="F8" s="39" t="s">
        <v>7</v>
      </c>
      <c r="G8" s="40">
        <f>launch.year-5</f>
        <v>2005</v>
      </c>
      <c r="H8" s="41"/>
      <c r="I8" s="40">
        <f>launch.year</f>
        <v>2010</v>
      </c>
      <c r="J8" s="41"/>
      <c r="K8" s="42"/>
      <c r="L8" s="31"/>
      <c r="M8" s="38" t="s">
        <v>6</v>
      </c>
      <c r="N8" s="43" t="s">
        <v>100</v>
      </c>
      <c r="O8" s="44">
        <f>launch.year-5</f>
        <v>2005</v>
      </c>
      <c r="P8" s="41"/>
      <c r="Q8" s="44">
        <f>launch.year</f>
        <v>2010</v>
      </c>
      <c r="R8" s="41"/>
      <c r="T8" s="31"/>
      <c r="U8" s="38" t="s">
        <v>32</v>
      </c>
      <c r="V8" s="45" t="s">
        <v>58</v>
      </c>
      <c r="W8" s="46"/>
      <c r="X8" s="47"/>
      <c r="Y8" s="31"/>
      <c r="Z8" s="38" t="s">
        <v>6</v>
      </c>
      <c r="AA8" s="48" t="s">
        <v>32</v>
      </c>
      <c r="AB8" s="49">
        <f>launch.year-5</f>
        <v>2005</v>
      </c>
      <c r="AC8" s="46"/>
      <c r="AD8" s="50">
        <f>launch.year</f>
        <v>2010</v>
      </c>
      <c r="AE8" s="46"/>
      <c r="AF8" s="49">
        <f>IF(AD8="","",IF(AD8+5&gt;target.year,"",AD8+5))</f>
        <v>2015</v>
      </c>
      <c r="AG8" s="46"/>
      <c r="AH8" s="49">
        <f>IF(AF8="","",IF(AF8+5&gt;target.year,"",AF8+5))</f>
        <v>2020</v>
      </c>
      <c r="AI8" s="46"/>
      <c r="AJ8" s="49">
        <f>IF(AH8="","",IF(AH8+5&gt;target.year,"",AH8+5))</f>
        <v>2025</v>
      </c>
      <c r="AK8" s="46"/>
      <c r="AL8" s="49">
        <f>IF(AJ8="","",IF(AJ8+5&gt;target.year,"",AJ8+5))</f>
        <v>2030</v>
      </c>
      <c r="AM8" s="46"/>
      <c r="AN8" s="49">
        <f>IF(AL8="","",IF(AL8+5&gt;target.year,"",AL8+5))</f>
        <v>2035</v>
      </c>
      <c r="AO8" s="50"/>
      <c r="AP8" s="51"/>
    </row>
    <row r="9" spans="2:43" x14ac:dyDescent="0.25">
      <c r="B9" s="30" t="s">
        <v>26</v>
      </c>
      <c r="C9" s="9" t="s">
        <v>17</v>
      </c>
      <c r="D9" s="37"/>
      <c r="E9" s="52"/>
      <c r="F9" s="53"/>
      <c r="G9" s="54" t="s">
        <v>20</v>
      </c>
      <c r="H9" s="55" t="s">
        <v>21</v>
      </c>
      <c r="I9" s="54" t="s">
        <v>20</v>
      </c>
      <c r="J9" s="55" t="s">
        <v>21</v>
      </c>
      <c r="K9" s="42"/>
      <c r="L9" s="31"/>
      <c r="M9" s="56"/>
      <c r="N9" s="57" t="s">
        <v>101</v>
      </c>
      <c r="O9" s="58" t="s">
        <v>20</v>
      </c>
      <c r="P9" s="55" t="s">
        <v>21</v>
      </c>
      <c r="Q9" s="58" t="s">
        <v>20</v>
      </c>
      <c r="R9" s="55" t="s">
        <v>21</v>
      </c>
      <c r="T9" s="31"/>
      <c r="U9" s="56"/>
      <c r="V9" s="53" t="s">
        <v>20</v>
      </c>
      <c r="W9" s="59" t="s">
        <v>21</v>
      </c>
      <c r="X9" s="60"/>
      <c r="Y9" s="31"/>
      <c r="Z9" s="61"/>
      <c r="AA9" s="62"/>
      <c r="AB9" s="61" t="s">
        <v>20</v>
      </c>
      <c r="AC9" s="63" t="s">
        <v>21</v>
      </c>
      <c r="AD9" s="63" t="s">
        <v>20</v>
      </c>
      <c r="AE9" s="62" t="s">
        <v>21</v>
      </c>
      <c r="AF9" s="61" t="s">
        <v>20</v>
      </c>
      <c r="AG9" s="63" t="s">
        <v>21</v>
      </c>
      <c r="AH9" s="63" t="s">
        <v>20</v>
      </c>
      <c r="AI9" s="62" t="s">
        <v>21</v>
      </c>
      <c r="AJ9" s="61" t="s">
        <v>20</v>
      </c>
      <c r="AK9" s="63" t="s">
        <v>21</v>
      </c>
      <c r="AL9" s="63" t="s">
        <v>20</v>
      </c>
      <c r="AM9" s="62" t="s">
        <v>21</v>
      </c>
      <c r="AN9" s="61" t="s">
        <v>20</v>
      </c>
      <c r="AO9" s="64" t="s">
        <v>21</v>
      </c>
      <c r="AP9" s="65"/>
      <c r="AQ9" s="66"/>
    </row>
    <row r="10" spans="2:43" x14ac:dyDescent="0.25">
      <c r="B10" s="67" t="s">
        <v>23</v>
      </c>
      <c r="C10" s="9">
        <v>2010</v>
      </c>
      <c r="D10" s="37"/>
      <c r="E10" s="68" t="s">
        <v>9</v>
      </c>
      <c r="F10" s="69" t="s">
        <v>10</v>
      </c>
      <c r="G10" s="68" t="s">
        <v>11</v>
      </c>
      <c r="H10" s="70" t="s">
        <v>12</v>
      </c>
      <c r="I10" s="68" t="s">
        <v>13</v>
      </c>
      <c r="J10" s="70" t="s">
        <v>14</v>
      </c>
      <c r="K10" s="71"/>
      <c r="L10" s="31"/>
      <c r="M10" s="68" t="s">
        <v>9</v>
      </c>
      <c r="N10" s="72" t="s">
        <v>10</v>
      </c>
      <c r="O10" s="72" t="s">
        <v>11</v>
      </c>
      <c r="P10" s="70" t="s">
        <v>12</v>
      </c>
      <c r="Q10" s="72" t="s">
        <v>13</v>
      </c>
      <c r="R10" s="70" t="s">
        <v>14</v>
      </c>
      <c r="T10" s="31"/>
      <c r="U10" s="68" t="s">
        <v>9</v>
      </c>
      <c r="V10" s="72" t="s">
        <v>10</v>
      </c>
      <c r="W10" s="70" t="s">
        <v>11</v>
      </c>
      <c r="X10" s="71"/>
      <c r="Y10" s="31"/>
      <c r="Z10" s="68" t="s">
        <v>9</v>
      </c>
      <c r="AA10" s="70" t="s">
        <v>10</v>
      </c>
      <c r="AB10" s="68" t="s">
        <v>11</v>
      </c>
      <c r="AC10" s="70" t="s">
        <v>12</v>
      </c>
      <c r="AD10" s="72" t="s">
        <v>13</v>
      </c>
      <c r="AE10" s="70" t="s">
        <v>14</v>
      </c>
      <c r="AF10" s="68" t="s">
        <v>11</v>
      </c>
      <c r="AG10" s="70" t="s">
        <v>12</v>
      </c>
      <c r="AH10" s="72" t="s">
        <v>13</v>
      </c>
      <c r="AI10" s="70" t="s">
        <v>14</v>
      </c>
      <c r="AJ10" s="68" t="s">
        <v>11</v>
      </c>
      <c r="AK10" s="70" t="s">
        <v>12</v>
      </c>
      <c r="AL10" s="72" t="s">
        <v>13</v>
      </c>
      <c r="AM10" s="70" t="s">
        <v>14</v>
      </c>
      <c r="AN10" s="68" t="s">
        <v>11</v>
      </c>
      <c r="AO10" s="69" t="s">
        <v>12</v>
      </c>
      <c r="AP10" s="73"/>
      <c r="AQ10" s="74"/>
    </row>
    <row r="11" spans="2:43" x14ac:dyDescent="0.25">
      <c r="B11" s="75" t="s">
        <v>24</v>
      </c>
      <c r="C11" s="9">
        <v>2040</v>
      </c>
      <c r="D11" s="37"/>
      <c r="E11" s="56">
        <v>1</v>
      </c>
      <c r="F11" s="53" t="s">
        <v>38</v>
      </c>
      <c r="G11" s="106">
        <v>25497</v>
      </c>
      <c r="H11" s="13">
        <v>23916</v>
      </c>
      <c r="I11" s="12">
        <v>25856</v>
      </c>
      <c r="J11" s="13">
        <v>24551</v>
      </c>
      <c r="K11" s="76"/>
      <c r="L11" s="31"/>
      <c r="M11" s="56">
        <f t="shared" ref="M11:M19" si="0">E13</f>
        <v>3</v>
      </c>
      <c r="N11" s="77" t="str">
        <f t="shared" ref="N11:N19" si="1">F13</f>
        <v>10-14</v>
      </c>
      <c r="O11" s="16">
        <v>0</v>
      </c>
      <c r="P11" s="13">
        <v>0</v>
      </c>
      <c r="Q11" s="16">
        <v>8</v>
      </c>
      <c r="R11" s="17">
        <v>0</v>
      </c>
      <c r="T11" s="31"/>
      <c r="U11" s="78" t="s">
        <v>59</v>
      </c>
      <c r="V11" s="14">
        <v>7619509.5</v>
      </c>
      <c r="W11" s="15">
        <v>8104166</v>
      </c>
      <c r="X11" s="79"/>
      <c r="Y11" s="31"/>
      <c r="Z11" s="56">
        <v>1</v>
      </c>
      <c r="AA11" s="80" t="s">
        <v>38</v>
      </c>
      <c r="AB11" s="20">
        <v>10319427</v>
      </c>
      <c r="AC11" s="15">
        <v>9741805</v>
      </c>
      <c r="AD11" s="14">
        <v>10319427</v>
      </c>
      <c r="AE11" s="107">
        <v>9881935</v>
      </c>
      <c r="AF11" s="20">
        <v>10210568</v>
      </c>
      <c r="AG11" s="15">
        <v>9754546</v>
      </c>
      <c r="AH11" s="14">
        <v>10520175</v>
      </c>
      <c r="AI11" s="107">
        <v>10047493</v>
      </c>
      <c r="AJ11" s="20">
        <v>10746672</v>
      </c>
      <c r="AK11" s="15">
        <v>10263546</v>
      </c>
      <c r="AL11" s="14">
        <v>10832689</v>
      </c>
      <c r="AM11" s="107">
        <v>10345517</v>
      </c>
      <c r="AN11" s="20">
        <v>10878963</v>
      </c>
      <c r="AO11" s="22">
        <v>10389489</v>
      </c>
      <c r="AP11" s="81"/>
      <c r="AQ11" s="82"/>
    </row>
    <row r="12" spans="2:43" x14ac:dyDescent="0.25">
      <c r="B12" s="75" t="s">
        <v>56</v>
      </c>
      <c r="C12" s="9" t="s">
        <v>57</v>
      </c>
      <c r="D12" s="37"/>
      <c r="E12" s="56">
        <v>2</v>
      </c>
      <c r="F12" s="83" t="s">
        <v>39</v>
      </c>
      <c r="G12" s="106">
        <v>22333</v>
      </c>
      <c r="H12" s="13">
        <v>21499</v>
      </c>
      <c r="I12" s="12">
        <v>23110</v>
      </c>
      <c r="J12" s="13">
        <v>22180</v>
      </c>
      <c r="K12" s="84"/>
      <c r="L12" s="31"/>
      <c r="M12" s="56">
        <f t="shared" si="0"/>
        <v>4</v>
      </c>
      <c r="N12" s="77" t="str">
        <f t="shared" si="1"/>
        <v>15-19</v>
      </c>
      <c r="O12" s="16">
        <v>540</v>
      </c>
      <c r="P12" s="13">
        <v>526</v>
      </c>
      <c r="Q12" s="16">
        <v>466.33333333333331</v>
      </c>
      <c r="R12" s="17">
        <v>452</v>
      </c>
      <c r="T12" s="31"/>
      <c r="U12" s="78" t="s">
        <v>60</v>
      </c>
      <c r="V12" s="16">
        <v>7123038.5</v>
      </c>
      <c r="W12" s="17">
        <v>7607103.5</v>
      </c>
      <c r="X12" s="79"/>
      <c r="Y12" s="31"/>
      <c r="Z12" s="56">
        <v>2</v>
      </c>
      <c r="AA12" s="80" t="s">
        <v>60</v>
      </c>
      <c r="AB12" s="21">
        <v>10389638</v>
      </c>
      <c r="AC12" s="17">
        <v>9473900</v>
      </c>
      <c r="AD12" s="16">
        <v>10389638</v>
      </c>
      <c r="AE12" s="107">
        <v>9959019</v>
      </c>
      <c r="AF12" s="21">
        <v>10447888</v>
      </c>
      <c r="AG12" s="17">
        <v>10014756</v>
      </c>
      <c r="AH12" s="16">
        <v>10360134</v>
      </c>
      <c r="AI12" s="107">
        <v>9913920</v>
      </c>
      <c r="AJ12" s="21">
        <v>10675532</v>
      </c>
      <c r="AK12" s="17">
        <v>10213692</v>
      </c>
      <c r="AL12" s="16">
        <v>10909761</v>
      </c>
      <c r="AM12" s="107">
        <v>10437372</v>
      </c>
      <c r="AN12" s="21">
        <v>11002747</v>
      </c>
      <c r="AO12" s="23">
        <v>10526344</v>
      </c>
      <c r="AP12" s="81"/>
      <c r="AQ12" s="82"/>
    </row>
    <row r="13" spans="2:43" x14ac:dyDescent="0.25">
      <c r="B13" s="85"/>
      <c r="D13" s="37"/>
      <c r="E13" s="56">
        <v>3</v>
      </c>
      <c r="F13" s="83" t="s">
        <v>40</v>
      </c>
      <c r="G13" s="106">
        <v>23563</v>
      </c>
      <c r="H13" s="13">
        <v>22591</v>
      </c>
      <c r="I13" s="12">
        <v>21915</v>
      </c>
      <c r="J13" s="13">
        <v>20882</v>
      </c>
      <c r="K13" s="84"/>
      <c r="L13" s="31"/>
      <c r="M13" s="56">
        <f t="shared" si="0"/>
        <v>5</v>
      </c>
      <c r="N13" s="77" t="str">
        <f t="shared" si="1"/>
        <v>20-24</v>
      </c>
      <c r="O13" s="16">
        <v>1295</v>
      </c>
      <c r="P13" s="13">
        <v>1234</v>
      </c>
      <c r="Q13" s="16">
        <v>1217.3333333333333</v>
      </c>
      <c r="R13" s="17">
        <v>1134.3333333333333</v>
      </c>
      <c r="T13" s="31"/>
      <c r="U13" s="78" t="s">
        <v>61</v>
      </c>
      <c r="V13" s="16">
        <v>6627143.5</v>
      </c>
      <c r="W13" s="17">
        <v>7110482.5</v>
      </c>
      <c r="X13" s="79"/>
      <c r="Y13" s="31"/>
      <c r="Z13" s="56">
        <v>3</v>
      </c>
      <c r="AA13" s="80" t="s">
        <v>61</v>
      </c>
      <c r="AB13" s="21">
        <v>10864197</v>
      </c>
      <c r="AC13" s="17">
        <v>10348382</v>
      </c>
      <c r="AD13" s="16">
        <v>10579862</v>
      </c>
      <c r="AE13" s="107">
        <v>10097332</v>
      </c>
      <c r="AF13" s="21">
        <v>10513167</v>
      </c>
      <c r="AG13" s="17">
        <v>10076411</v>
      </c>
      <c r="AH13" s="16">
        <v>10584485</v>
      </c>
      <c r="AI13" s="107">
        <v>10150340</v>
      </c>
      <c r="AJ13" s="21">
        <v>10500100</v>
      </c>
      <c r="AK13" s="17">
        <v>10054927</v>
      </c>
      <c r="AL13" s="16">
        <v>10821240</v>
      </c>
      <c r="AM13" s="107">
        <v>10360741</v>
      </c>
      <c r="AN13" s="21">
        <v>11060694</v>
      </c>
      <c r="AO13" s="23">
        <v>10589692</v>
      </c>
      <c r="AP13" s="81"/>
      <c r="AQ13" s="82"/>
    </row>
    <row r="14" spans="2:43" x14ac:dyDescent="0.25">
      <c r="B14" s="75"/>
      <c r="C14" s="66"/>
      <c r="D14" s="37"/>
      <c r="E14" s="56">
        <v>4</v>
      </c>
      <c r="F14" s="86" t="s">
        <v>41</v>
      </c>
      <c r="G14" s="106">
        <v>22534</v>
      </c>
      <c r="H14" s="13">
        <v>21972</v>
      </c>
      <c r="I14" s="12">
        <v>22737</v>
      </c>
      <c r="J14" s="13">
        <v>21906</v>
      </c>
      <c r="K14" s="84"/>
      <c r="L14" s="31"/>
      <c r="M14" s="56">
        <f t="shared" si="0"/>
        <v>6</v>
      </c>
      <c r="N14" s="77" t="str">
        <f t="shared" si="1"/>
        <v>25-29</v>
      </c>
      <c r="O14" s="16">
        <v>1465</v>
      </c>
      <c r="P14" s="13">
        <v>1406</v>
      </c>
      <c r="Q14" s="16">
        <v>1457</v>
      </c>
      <c r="R14" s="17">
        <v>1382</v>
      </c>
      <c r="T14" s="31"/>
      <c r="U14" s="78" t="s">
        <v>62</v>
      </c>
      <c r="V14" s="16">
        <v>6131524.5</v>
      </c>
      <c r="W14" s="17">
        <v>6614105.5</v>
      </c>
      <c r="X14" s="79"/>
      <c r="Y14" s="31"/>
      <c r="Z14" s="56">
        <v>4</v>
      </c>
      <c r="AA14" s="80" t="s">
        <v>62</v>
      </c>
      <c r="AB14" s="21">
        <v>11051425</v>
      </c>
      <c r="AC14" s="17">
        <v>10434789</v>
      </c>
      <c r="AD14" s="16">
        <v>11303666</v>
      </c>
      <c r="AE14" s="107">
        <v>10736677</v>
      </c>
      <c r="AF14" s="21">
        <v>10795574</v>
      </c>
      <c r="AG14" s="17">
        <v>10296599</v>
      </c>
      <c r="AH14" s="16">
        <v>10749161</v>
      </c>
      <c r="AI14" s="107">
        <v>10298638</v>
      </c>
      <c r="AJ14" s="21">
        <v>10835133</v>
      </c>
      <c r="AK14" s="17">
        <v>10384248</v>
      </c>
      <c r="AL14" s="16">
        <v>10761574</v>
      </c>
      <c r="AM14" s="107">
        <v>10298498</v>
      </c>
      <c r="AN14" s="21">
        <v>11092640</v>
      </c>
      <c r="AO14" s="23">
        <v>10612907</v>
      </c>
      <c r="AP14" s="81"/>
      <c r="AQ14" s="82"/>
    </row>
    <row r="15" spans="2:43" x14ac:dyDescent="0.25">
      <c r="B15" s="75"/>
      <c r="D15" s="37"/>
      <c r="E15" s="56">
        <v>5</v>
      </c>
      <c r="F15" s="86" t="s">
        <v>42</v>
      </c>
      <c r="G15" s="106">
        <v>24341</v>
      </c>
      <c r="H15" s="13">
        <v>25213</v>
      </c>
      <c r="I15" s="12">
        <v>25555</v>
      </c>
      <c r="J15" s="13">
        <v>26144</v>
      </c>
      <c r="K15" s="84"/>
      <c r="L15" s="31"/>
      <c r="M15" s="56">
        <f t="shared" si="0"/>
        <v>7</v>
      </c>
      <c r="N15" s="77" t="str">
        <f t="shared" si="1"/>
        <v>30-34</v>
      </c>
      <c r="O15" s="16">
        <v>1399</v>
      </c>
      <c r="P15" s="13">
        <v>1279</v>
      </c>
      <c r="Q15" s="16">
        <v>1501.3333333333333</v>
      </c>
      <c r="R15" s="17">
        <v>1420.3333333333333</v>
      </c>
      <c r="T15" s="31"/>
      <c r="U15" s="78" t="s">
        <v>63</v>
      </c>
      <c r="V15" s="16">
        <v>5636906.5</v>
      </c>
      <c r="W15" s="17">
        <v>6118213</v>
      </c>
      <c r="X15" s="79"/>
      <c r="Y15" s="31"/>
      <c r="Z15" s="56">
        <v>5</v>
      </c>
      <c r="AA15" s="80" t="s">
        <v>63</v>
      </c>
      <c r="AB15" s="21">
        <v>10737149</v>
      </c>
      <c r="AC15" s="17">
        <v>10222806</v>
      </c>
      <c r="AD15" s="16">
        <v>11014176</v>
      </c>
      <c r="AE15" s="107">
        <v>10571823</v>
      </c>
      <c r="AF15" s="21">
        <v>11678113</v>
      </c>
      <c r="AG15" s="17">
        <v>11062010</v>
      </c>
      <c r="AH15" s="16">
        <v>11299814</v>
      </c>
      <c r="AI15" s="107">
        <v>10759264</v>
      </c>
      <c r="AJ15" s="21">
        <v>11290139</v>
      </c>
      <c r="AK15" s="17">
        <v>10787274</v>
      </c>
      <c r="AL15" s="16">
        <v>11403997</v>
      </c>
      <c r="AM15" s="107">
        <v>10895017</v>
      </c>
      <c r="AN15" s="21">
        <v>11354405</v>
      </c>
      <c r="AO15" s="23">
        <v>10828365</v>
      </c>
      <c r="AP15" s="81"/>
      <c r="AQ15" s="82"/>
    </row>
    <row r="16" spans="2:43" x14ac:dyDescent="0.25">
      <c r="B16" s="75"/>
      <c r="D16" s="37"/>
      <c r="E16" s="56">
        <v>6</v>
      </c>
      <c r="F16" s="86" t="s">
        <v>43</v>
      </c>
      <c r="G16" s="106">
        <v>28345</v>
      </c>
      <c r="H16" s="13">
        <v>30435</v>
      </c>
      <c r="I16" s="12">
        <v>29422</v>
      </c>
      <c r="J16" s="13">
        <v>31514</v>
      </c>
      <c r="K16" s="84"/>
      <c r="L16" s="31"/>
      <c r="M16" s="56">
        <f t="shared" si="0"/>
        <v>8</v>
      </c>
      <c r="N16" s="77" t="str">
        <f t="shared" si="1"/>
        <v>35-39</v>
      </c>
      <c r="O16" s="16">
        <v>779</v>
      </c>
      <c r="P16" s="13">
        <v>787</v>
      </c>
      <c r="Q16" s="16">
        <v>824</v>
      </c>
      <c r="R16" s="17">
        <v>768.66666666666663</v>
      </c>
      <c r="T16" s="31"/>
      <c r="U16" s="78" t="s">
        <v>64</v>
      </c>
      <c r="V16" s="16">
        <v>5144760</v>
      </c>
      <c r="W16" s="17">
        <v>5623231.5</v>
      </c>
      <c r="X16" s="79"/>
      <c r="Y16" s="31"/>
      <c r="Z16" s="56">
        <v>6</v>
      </c>
      <c r="AA16" s="80" t="s">
        <v>64</v>
      </c>
      <c r="AB16" s="21">
        <v>9822166</v>
      </c>
      <c r="AC16" s="17">
        <v>9712544</v>
      </c>
      <c r="AD16" s="16">
        <v>10635591</v>
      </c>
      <c r="AE16" s="107">
        <v>10466258</v>
      </c>
      <c r="AF16" s="21">
        <v>11447183</v>
      </c>
      <c r="AG16" s="17">
        <v>11026171</v>
      </c>
      <c r="AH16" s="16">
        <v>12161392</v>
      </c>
      <c r="AI16" s="107">
        <v>11560715</v>
      </c>
      <c r="AJ16" s="21">
        <v>11818121</v>
      </c>
      <c r="AK16" s="17">
        <v>11284479</v>
      </c>
      <c r="AL16" s="16">
        <v>11840614</v>
      </c>
      <c r="AM16" s="107">
        <v>11338027</v>
      </c>
      <c r="AN16" s="21">
        <v>11981799</v>
      </c>
      <c r="AO16" s="23">
        <v>11468258</v>
      </c>
      <c r="AP16" s="81"/>
      <c r="AQ16" s="82"/>
    </row>
    <row r="17" spans="2:43" x14ac:dyDescent="0.25">
      <c r="B17" s="75"/>
      <c r="D17" s="37"/>
      <c r="E17" s="56">
        <v>7</v>
      </c>
      <c r="F17" s="86" t="s">
        <v>44</v>
      </c>
      <c r="G17" s="106">
        <v>28891</v>
      </c>
      <c r="H17" s="13">
        <v>30093</v>
      </c>
      <c r="I17" s="12">
        <v>28134</v>
      </c>
      <c r="J17" s="13">
        <v>29579</v>
      </c>
      <c r="K17" s="84"/>
      <c r="L17" s="31"/>
      <c r="M17" s="56">
        <f t="shared" si="0"/>
        <v>9</v>
      </c>
      <c r="N17" s="77" t="str">
        <f t="shared" si="1"/>
        <v>40-44</v>
      </c>
      <c r="O17" s="16">
        <v>155</v>
      </c>
      <c r="P17" s="13">
        <v>145</v>
      </c>
      <c r="Q17" s="16">
        <v>188.33333333333334</v>
      </c>
      <c r="R17" s="17">
        <v>184</v>
      </c>
      <c r="T17" s="31"/>
      <c r="U17" s="78" t="s">
        <v>65</v>
      </c>
      <c r="V17" s="16">
        <v>4655888</v>
      </c>
      <c r="W17" s="17">
        <v>5129498</v>
      </c>
      <c r="X17" s="79"/>
      <c r="Y17" s="31"/>
      <c r="Z17" s="56">
        <v>7</v>
      </c>
      <c r="AA17" s="80" t="s">
        <v>65</v>
      </c>
      <c r="AB17" s="21">
        <v>9888783</v>
      </c>
      <c r="AC17" s="17">
        <v>9835154</v>
      </c>
      <c r="AD17" s="16">
        <v>9996500</v>
      </c>
      <c r="AE17" s="107">
        <v>9965599</v>
      </c>
      <c r="AF17" s="21">
        <v>10906371</v>
      </c>
      <c r="AG17" s="17">
        <v>10752775</v>
      </c>
      <c r="AH17" s="16">
        <v>11780885</v>
      </c>
      <c r="AI17" s="107">
        <v>11386944</v>
      </c>
      <c r="AJ17" s="21">
        <v>12510010</v>
      </c>
      <c r="AK17" s="17">
        <v>11939865</v>
      </c>
      <c r="AL17" s="16">
        <v>12194207</v>
      </c>
      <c r="AM17" s="107">
        <v>11683477</v>
      </c>
      <c r="AN17" s="21">
        <v>12240616</v>
      </c>
      <c r="AO17" s="23">
        <v>11754879</v>
      </c>
      <c r="AP17" s="81"/>
      <c r="AQ17" s="82"/>
    </row>
    <row r="18" spans="2:43" x14ac:dyDescent="0.25">
      <c r="B18" s="75"/>
      <c r="D18" s="37"/>
      <c r="E18" s="56">
        <v>8</v>
      </c>
      <c r="F18" s="86" t="s">
        <v>45</v>
      </c>
      <c r="G18" s="106">
        <v>28237</v>
      </c>
      <c r="H18" s="13">
        <v>28848</v>
      </c>
      <c r="I18" s="12">
        <v>27346</v>
      </c>
      <c r="J18" s="13">
        <v>28245</v>
      </c>
      <c r="K18" s="84"/>
      <c r="L18" s="31"/>
      <c r="M18" s="56">
        <f t="shared" si="0"/>
        <v>10</v>
      </c>
      <c r="N18" s="77" t="str">
        <f t="shared" si="1"/>
        <v>45-49</v>
      </c>
      <c r="O18" s="16">
        <v>16</v>
      </c>
      <c r="P18" s="13">
        <v>19</v>
      </c>
      <c r="Q18" s="16">
        <v>15</v>
      </c>
      <c r="R18" s="17">
        <v>9</v>
      </c>
      <c r="T18" s="31"/>
      <c r="U18" s="78" t="s">
        <v>66</v>
      </c>
      <c r="V18" s="16">
        <v>4170444.75</v>
      </c>
      <c r="W18" s="17">
        <v>4637325.5</v>
      </c>
      <c r="X18" s="79"/>
      <c r="Y18" s="31"/>
      <c r="Z18" s="56">
        <v>8</v>
      </c>
      <c r="AA18" s="80" t="s">
        <v>66</v>
      </c>
      <c r="AB18" s="21">
        <v>10387033</v>
      </c>
      <c r="AC18" s="17">
        <v>10411620</v>
      </c>
      <c r="AD18" s="16">
        <v>10042022</v>
      </c>
      <c r="AE18" s="107">
        <v>10137620</v>
      </c>
      <c r="AF18" s="21">
        <v>10180801</v>
      </c>
      <c r="AG18" s="17">
        <v>10165611</v>
      </c>
      <c r="AH18" s="16">
        <v>11098635</v>
      </c>
      <c r="AI18" s="107">
        <v>10961079</v>
      </c>
      <c r="AJ18" s="21">
        <v>11979204</v>
      </c>
      <c r="AK18" s="17">
        <v>11606670</v>
      </c>
      <c r="AL18" s="16">
        <v>12725247</v>
      </c>
      <c r="AM18" s="107">
        <v>12172733</v>
      </c>
      <c r="AN18" s="21">
        <v>12430446</v>
      </c>
      <c r="AO18" s="23">
        <v>11929331</v>
      </c>
      <c r="AP18" s="81"/>
      <c r="AQ18" s="82"/>
    </row>
    <row r="19" spans="2:43" x14ac:dyDescent="0.25">
      <c r="B19" s="75"/>
      <c r="D19" s="37"/>
      <c r="E19" s="56">
        <v>9</v>
      </c>
      <c r="F19" s="86" t="s">
        <v>46</v>
      </c>
      <c r="G19" s="106">
        <v>26191</v>
      </c>
      <c r="H19" s="13">
        <v>28252</v>
      </c>
      <c r="I19" s="12">
        <v>25043</v>
      </c>
      <c r="J19" s="13">
        <v>26511</v>
      </c>
      <c r="K19" s="84"/>
      <c r="L19" s="31"/>
      <c r="M19" s="56">
        <f t="shared" si="0"/>
        <v>11</v>
      </c>
      <c r="N19" s="77" t="str">
        <f t="shared" si="1"/>
        <v>50-54</v>
      </c>
      <c r="O19" s="16">
        <v>0</v>
      </c>
      <c r="P19" s="13">
        <v>0</v>
      </c>
      <c r="Q19" s="16">
        <v>0</v>
      </c>
      <c r="R19" s="17">
        <v>0</v>
      </c>
      <c r="T19" s="31"/>
      <c r="U19" s="78" t="s">
        <v>67</v>
      </c>
      <c r="V19" s="16">
        <v>3688853.25</v>
      </c>
      <c r="W19" s="17">
        <v>4147274</v>
      </c>
      <c r="X19" s="79"/>
      <c r="Y19" s="31"/>
      <c r="Z19" s="56">
        <v>9</v>
      </c>
      <c r="AA19" s="80" t="s">
        <v>67</v>
      </c>
      <c r="AB19" s="21">
        <v>11253162</v>
      </c>
      <c r="AC19" s="17">
        <v>11453723</v>
      </c>
      <c r="AD19" s="16">
        <v>10393977</v>
      </c>
      <c r="AE19" s="107">
        <v>10496987</v>
      </c>
      <c r="AF19" s="21">
        <v>10024621</v>
      </c>
      <c r="AG19" s="17">
        <v>10153392</v>
      </c>
      <c r="AH19" s="16">
        <v>10272290</v>
      </c>
      <c r="AI19" s="107">
        <v>10295766</v>
      </c>
      <c r="AJ19" s="21">
        <v>11192667</v>
      </c>
      <c r="AK19" s="17">
        <v>11098116</v>
      </c>
      <c r="AL19" s="16">
        <v>12085632</v>
      </c>
      <c r="AM19" s="107">
        <v>11754644</v>
      </c>
      <c r="AN19" s="21">
        <v>12845427</v>
      </c>
      <c r="AO19" s="23">
        <v>12330205</v>
      </c>
      <c r="AP19" s="81"/>
      <c r="AQ19" s="82"/>
    </row>
    <row r="20" spans="2:43" ht="15.75" thickBot="1" x14ac:dyDescent="0.3">
      <c r="B20" s="75"/>
      <c r="D20" s="37"/>
      <c r="E20" s="56">
        <v>10</v>
      </c>
      <c r="F20" s="86" t="s">
        <v>47</v>
      </c>
      <c r="G20" s="106">
        <v>22686</v>
      </c>
      <c r="H20" s="13">
        <v>25830</v>
      </c>
      <c r="I20" s="12">
        <v>23810</v>
      </c>
      <c r="J20" s="13">
        <v>26424</v>
      </c>
      <c r="K20" s="84"/>
      <c r="L20" s="31"/>
      <c r="M20" s="87" t="s">
        <v>17</v>
      </c>
      <c r="N20" s="88" t="s">
        <v>95</v>
      </c>
      <c r="O20" s="89">
        <f>SUM(O11:O19)</f>
        <v>5649</v>
      </c>
      <c r="P20" s="90">
        <f>SUM(P11:P19)</f>
        <v>5396</v>
      </c>
      <c r="Q20" s="89">
        <f>SUM(Q11:Q19)</f>
        <v>5677.333333333333</v>
      </c>
      <c r="R20" s="90">
        <f>SUM(R11:R19)</f>
        <v>5350.333333333333</v>
      </c>
      <c r="T20" s="31"/>
      <c r="U20" s="78" t="s">
        <v>68</v>
      </c>
      <c r="V20" s="16">
        <v>3212189.5</v>
      </c>
      <c r="W20" s="17">
        <v>3660277.5</v>
      </c>
      <c r="X20" s="79"/>
      <c r="Y20" s="31"/>
      <c r="Z20" s="56">
        <v>10</v>
      </c>
      <c r="AA20" s="80" t="s">
        <v>68</v>
      </c>
      <c r="AB20" s="21">
        <v>11060083</v>
      </c>
      <c r="AC20" s="17">
        <v>11357088</v>
      </c>
      <c r="AD20" s="16">
        <v>11209085</v>
      </c>
      <c r="AE20" s="107">
        <v>11499506</v>
      </c>
      <c r="AF20" s="21">
        <v>10323645</v>
      </c>
      <c r="AG20" s="17">
        <v>10493042</v>
      </c>
      <c r="AH20" s="16">
        <v>10009524</v>
      </c>
      <c r="AI20" s="107">
        <v>10194542</v>
      </c>
      <c r="AJ20" s="21">
        <v>10265707</v>
      </c>
      <c r="AK20" s="17">
        <v>10347415</v>
      </c>
      <c r="AL20" s="16">
        <v>11194437</v>
      </c>
      <c r="AM20" s="107">
        <v>11156791</v>
      </c>
      <c r="AN20" s="21">
        <v>12097382</v>
      </c>
      <c r="AO20" s="23">
        <v>11821867</v>
      </c>
      <c r="AP20" s="81"/>
      <c r="AQ20" s="82"/>
    </row>
    <row r="21" spans="2:43" x14ac:dyDescent="0.25">
      <c r="B21" s="75"/>
      <c r="D21" s="37"/>
      <c r="E21" s="56">
        <v>11</v>
      </c>
      <c r="F21" s="86" t="s">
        <v>48</v>
      </c>
      <c r="G21" s="106">
        <v>19504</v>
      </c>
      <c r="H21" s="13">
        <v>23625</v>
      </c>
      <c r="I21" s="12">
        <v>21027</v>
      </c>
      <c r="J21" s="13">
        <v>24984</v>
      </c>
      <c r="K21" s="84"/>
      <c r="L21" s="31"/>
      <c r="M21" s="31"/>
      <c r="N21" s="31"/>
      <c r="O21" s="31"/>
      <c r="P21" s="31"/>
      <c r="Q21" s="31"/>
      <c r="R21" s="31"/>
      <c r="S21" s="31"/>
      <c r="T21" s="31"/>
      <c r="U21" s="78" t="s">
        <v>69</v>
      </c>
      <c r="V21" s="16">
        <v>2743061.25</v>
      </c>
      <c r="W21" s="17">
        <v>3178085.5</v>
      </c>
      <c r="X21" s="79"/>
      <c r="Y21" s="31"/>
      <c r="Z21" s="56">
        <v>11</v>
      </c>
      <c r="AA21" s="80" t="s">
        <v>69</v>
      </c>
      <c r="AB21" s="21">
        <v>9821292</v>
      </c>
      <c r="AC21" s="17">
        <v>10257441</v>
      </c>
      <c r="AD21" s="16">
        <v>10933274</v>
      </c>
      <c r="AE21" s="107">
        <v>11364851</v>
      </c>
      <c r="AF21" s="21">
        <v>10955465</v>
      </c>
      <c r="AG21" s="17">
        <v>11356045</v>
      </c>
      <c r="AH21" s="16">
        <v>10181972</v>
      </c>
      <c r="AI21" s="107">
        <v>10455898</v>
      </c>
      <c r="AJ21" s="21">
        <v>9889223</v>
      </c>
      <c r="AK21" s="17">
        <v>10173569</v>
      </c>
      <c r="AL21" s="16">
        <v>10164609</v>
      </c>
      <c r="AM21" s="107">
        <v>10341709</v>
      </c>
      <c r="AN21" s="21">
        <v>11100127</v>
      </c>
      <c r="AO21" s="23">
        <v>11157103</v>
      </c>
      <c r="AP21" s="81"/>
      <c r="AQ21" s="82"/>
    </row>
    <row r="22" spans="2:43" x14ac:dyDescent="0.25">
      <c r="B22" s="75"/>
      <c r="D22" s="37"/>
      <c r="E22" s="56">
        <v>12</v>
      </c>
      <c r="F22" s="86" t="s">
        <v>49</v>
      </c>
      <c r="G22" s="106">
        <v>16011</v>
      </c>
      <c r="H22" s="13">
        <v>19652</v>
      </c>
      <c r="I22" s="12">
        <v>17928</v>
      </c>
      <c r="J22" s="13">
        <v>22198</v>
      </c>
      <c r="K22" s="84"/>
      <c r="L22" s="31"/>
      <c r="M22" s="31"/>
      <c r="N22" s="31"/>
      <c r="O22" s="31"/>
      <c r="P22" s="31"/>
      <c r="Q22" s="31"/>
      <c r="R22" s="31"/>
      <c r="S22" s="31"/>
      <c r="T22" s="31"/>
      <c r="U22" s="78" t="s">
        <v>70</v>
      </c>
      <c r="V22" s="16">
        <v>2285555.75</v>
      </c>
      <c r="W22" s="17">
        <v>2703309.75</v>
      </c>
      <c r="X22" s="79"/>
      <c r="Y22" s="31"/>
      <c r="Z22" s="56">
        <v>12</v>
      </c>
      <c r="AA22" s="80" t="s">
        <v>70</v>
      </c>
      <c r="AB22" s="21">
        <v>8495361</v>
      </c>
      <c r="AC22" s="17">
        <v>9007859</v>
      </c>
      <c r="AD22" s="16">
        <v>9523648</v>
      </c>
      <c r="AE22" s="107">
        <v>10141157</v>
      </c>
      <c r="AF22" s="21">
        <v>10600649</v>
      </c>
      <c r="AG22" s="17">
        <v>11210496</v>
      </c>
      <c r="AH22" s="16">
        <v>10650622</v>
      </c>
      <c r="AI22" s="107">
        <v>11227967</v>
      </c>
      <c r="AJ22" s="21">
        <v>9929098</v>
      </c>
      <c r="AK22" s="17">
        <v>10364728</v>
      </c>
      <c r="AL22" s="16">
        <v>9671705</v>
      </c>
      <c r="AM22" s="107">
        <v>10105515</v>
      </c>
      <c r="AN22" s="21">
        <v>9969346</v>
      </c>
      <c r="AO22" s="23">
        <v>10290735</v>
      </c>
      <c r="AP22" s="81"/>
      <c r="AQ22" s="82"/>
    </row>
    <row r="23" spans="2:43" x14ac:dyDescent="0.25">
      <c r="B23" s="75"/>
      <c r="D23" s="37"/>
      <c r="E23" s="56">
        <v>13</v>
      </c>
      <c r="F23" s="86" t="s">
        <v>50</v>
      </c>
      <c r="G23" s="106">
        <v>10613</v>
      </c>
      <c r="H23" s="13">
        <v>12875</v>
      </c>
      <c r="I23" s="12">
        <v>14530</v>
      </c>
      <c r="J23" s="13">
        <v>18134</v>
      </c>
      <c r="K23" s="84"/>
      <c r="L23" s="31"/>
      <c r="M23" s="31"/>
      <c r="N23" s="31"/>
      <c r="O23" s="31"/>
      <c r="P23" s="31"/>
      <c r="Q23" s="31"/>
      <c r="R23" s="31"/>
      <c r="S23" s="31"/>
      <c r="T23" s="31"/>
      <c r="U23" s="78" t="s">
        <v>71</v>
      </c>
      <c r="V23" s="16">
        <v>1845061.5</v>
      </c>
      <c r="W23" s="17">
        <v>2238990.25</v>
      </c>
      <c r="X23" s="79"/>
      <c r="Y23" s="31"/>
      <c r="Z23" s="56">
        <v>13</v>
      </c>
      <c r="AA23" s="80" t="s">
        <v>71</v>
      </c>
      <c r="AB23" s="21">
        <v>6277726</v>
      </c>
      <c r="AC23" s="17">
        <v>6860551</v>
      </c>
      <c r="AD23" s="16">
        <v>8077500</v>
      </c>
      <c r="AE23" s="107">
        <v>8740424</v>
      </c>
      <c r="AF23" s="21">
        <v>9131015</v>
      </c>
      <c r="AG23" s="17">
        <v>9961705</v>
      </c>
      <c r="AH23" s="16">
        <v>10147422</v>
      </c>
      <c r="AI23" s="107">
        <v>10993354</v>
      </c>
      <c r="AJ23" s="21">
        <v>10229297</v>
      </c>
      <c r="AK23" s="17">
        <v>11035928</v>
      </c>
      <c r="AL23" s="16">
        <v>9577660</v>
      </c>
      <c r="AM23" s="107">
        <v>10221373</v>
      </c>
      <c r="AN23" s="21">
        <v>9362045</v>
      </c>
      <c r="AO23" s="23">
        <v>9989444</v>
      </c>
      <c r="AP23" s="81"/>
      <c r="AQ23" s="82"/>
    </row>
    <row r="24" spans="2:43" x14ac:dyDescent="0.25">
      <c r="B24" s="75"/>
      <c r="D24" s="37"/>
      <c r="E24" s="56">
        <v>14</v>
      </c>
      <c r="F24" s="86" t="s">
        <v>51</v>
      </c>
      <c r="G24" s="106">
        <v>7402</v>
      </c>
      <c r="H24" s="13">
        <v>9260</v>
      </c>
      <c r="I24" s="12">
        <v>9311</v>
      </c>
      <c r="J24" s="13">
        <v>11793</v>
      </c>
      <c r="K24" s="84"/>
      <c r="L24" s="31"/>
      <c r="M24" s="31"/>
      <c r="N24" s="31"/>
      <c r="O24" s="31"/>
      <c r="P24" s="31"/>
      <c r="Q24" s="31"/>
      <c r="R24" s="31"/>
      <c r="S24" s="31"/>
      <c r="T24" s="31"/>
      <c r="U24" s="78" t="s">
        <v>72</v>
      </c>
      <c r="V24" s="16">
        <v>1427853.375</v>
      </c>
      <c r="W24" s="17">
        <v>1789424</v>
      </c>
      <c r="X24" s="79"/>
      <c r="Y24" s="31"/>
      <c r="Z24" s="56">
        <v>14</v>
      </c>
      <c r="AA24" s="80" t="s">
        <v>72</v>
      </c>
      <c r="AB24" s="21">
        <v>4809127</v>
      </c>
      <c r="AC24" s="17">
        <v>5469500</v>
      </c>
      <c r="AD24" s="16">
        <v>5852547</v>
      </c>
      <c r="AE24" s="107">
        <v>6582716</v>
      </c>
      <c r="AF24" s="21">
        <v>7611986</v>
      </c>
      <c r="AG24" s="17">
        <v>8482349</v>
      </c>
      <c r="AH24" s="16">
        <v>8567385</v>
      </c>
      <c r="AI24" s="107">
        <v>9626174</v>
      </c>
      <c r="AJ24" s="21">
        <v>9555713</v>
      </c>
      <c r="AK24" s="17">
        <v>10646349</v>
      </c>
      <c r="AL24" s="16">
        <v>9676004</v>
      </c>
      <c r="AM24" s="107">
        <v>10720616</v>
      </c>
      <c r="AN24" s="21">
        <v>9104700</v>
      </c>
      <c r="AO24" s="23">
        <v>9966664</v>
      </c>
      <c r="AP24" s="81"/>
      <c r="AQ24" s="82"/>
    </row>
    <row r="25" spans="2:43" x14ac:dyDescent="0.25">
      <c r="B25" s="75"/>
      <c r="D25" s="37"/>
      <c r="E25" s="56">
        <v>15</v>
      </c>
      <c r="F25" s="86" t="s">
        <v>52</v>
      </c>
      <c r="G25" s="106">
        <v>5296</v>
      </c>
      <c r="H25" s="13">
        <v>7676</v>
      </c>
      <c r="I25" s="12">
        <v>6107</v>
      </c>
      <c r="J25" s="13">
        <v>8254</v>
      </c>
      <c r="K25" s="84"/>
      <c r="L25" s="31"/>
      <c r="M25" s="31"/>
      <c r="N25" s="31"/>
      <c r="O25" s="31"/>
      <c r="P25" s="31"/>
      <c r="Q25" s="31"/>
      <c r="R25" s="31"/>
      <c r="S25" s="31"/>
      <c r="T25" s="31"/>
      <c r="U25" s="78" t="s">
        <v>73</v>
      </c>
      <c r="V25" s="16">
        <v>1041841.1875</v>
      </c>
      <c r="W25" s="17">
        <v>1361588.875</v>
      </c>
      <c r="X25" s="79"/>
      <c r="Y25" s="31"/>
      <c r="Z25" s="56">
        <v>15</v>
      </c>
      <c r="AA25" s="80" t="s">
        <v>73</v>
      </c>
      <c r="AB25" s="21">
        <v>3874001</v>
      </c>
      <c r="AC25" s="17">
        <v>4729069</v>
      </c>
      <c r="AD25" s="16">
        <v>4243972</v>
      </c>
      <c r="AE25" s="107">
        <v>5034194</v>
      </c>
      <c r="AF25" s="21">
        <v>5306253</v>
      </c>
      <c r="AG25" s="17">
        <v>6193493</v>
      </c>
      <c r="AH25" s="16">
        <v>6899766</v>
      </c>
      <c r="AI25" s="107">
        <v>7981849</v>
      </c>
      <c r="AJ25" s="21">
        <v>7803611</v>
      </c>
      <c r="AK25" s="17">
        <v>9087764</v>
      </c>
      <c r="AL25" s="16">
        <v>8746601</v>
      </c>
      <c r="AM25" s="107">
        <v>10082974</v>
      </c>
      <c r="AN25" s="21">
        <v>8901250</v>
      </c>
      <c r="AO25" s="23">
        <v>10189428</v>
      </c>
      <c r="AP25" s="81"/>
      <c r="AQ25" s="82"/>
    </row>
    <row r="26" spans="2:43" x14ac:dyDescent="0.25">
      <c r="B26" s="75"/>
      <c r="D26" s="37"/>
      <c r="E26" s="56">
        <v>16</v>
      </c>
      <c r="F26" s="86" t="s">
        <v>53</v>
      </c>
      <c r="G26" s="106">
        <v>4137</v>
      </c>
      <c r="H26" s="13">
        <v>6592</v>
      </c>
      <c r="I26" s="12">
        <v>4182</v>
      </c>
      <c r="J26" s="13">
        <v>6552</v>
      </c>
      <c r="K26" s="84"/>
      <c r="L26" s="31"/>
      <c r="M26" s="31"/>
      <c r="N26" s="31"/>
      <c r="O26" s="31"/>
      <c r="P26" s="31"/>
      <c r="Q26" s="31"/>
      <c r="R26" s="31"/>
      <c r="S26" s="31"/>
      <c r="T26" s="31"/>
      <c r="U26" s="78" t="s">
        <v>74</v>
      </c>
      <c r="V26" s="16">
        <v>698408.1875</v>
      </c>
      <c r="W26" s="17">
        <v>965912.5625</v>
      </c>
      <c r="X26" s="79"/>
      <c r="Y26" s="31"/>
      <c r="Z26" s="56">
        <v>16</v>
      </c>
      <c r="AA26" s="80" t="s">
        <v>74</v>
      </c>
      <c r="AB26" s="21">
        <v>3164353</v>
      </c>
      <c r="AC26" s="17">
        <v>4299256</v>
      </c>
      <c r="AD26" s="16">
        <v>3182388</v>
      </c>
      <c r="AE26" s="107">
        <v>4135407</v>
      </c>
      <c r="AF26" s="21">
        <v>3614525</v>
      </c>
      <c r="AG26" s="17">
        <v>4511747</v>
      </c>
      <c r="AH26" s="16">
        <v>4538080</v>
      </c>
      <c r="AI26" s="107">
        <v>5574409</v>
      </c>
      <c r="AJ26" s="21">
        <v>5937844</v>
      </c>
      <c r="AK26" s="17">
        <v>7216219</v>
      </c>
      <c r="AL26" s="16">
        <v>6759594</v>
      </c>
      <c r="AM26" s="107">
        <v>8253241</v>
      </c>
      <c r="AN26" s="21">
        <v>7623085</v>
      </c>
      <c r="AO26" s="23">
        <v>9195674</v>
      </c>
      <c r="AP26" s="81"/>
      <c r="AQ26" s="82"/>
    </row>
    <row r="27" spans="2:43" x14ac:dyDescent="0.25">
      <c r="B27" s="75"/>
      <c r="D27" s="37"/>
      <c r="E27" s="56">
        <v>17</v>
      </c>
      <c r="F27" s="86" t="s">
        <v>54</v>
      </c>
      <c r="G27" s="106">
        <v>2923</v>
      </c>
      <c r="H27" s="13">
        <v>5303</v>
      </c>
      <c r="I27" s="12">
        <v>3046</v>
      </c>
      <c r="J27" s="13">
        <v>5287</v>
      </c>
      <c r="K27" s="84"/>
      <c r="L27" s="31"/>
      <c r="M27" s="31"/>
      <c r="N27" s="31"/>
      <c r="O27" s="31"/>
      <c r="P27" s="31"/>
      <c r="Q27" s="31"/>
      <c r="R27" s="31"/>
      <c r="S27" s="31"/>
      <c r="T27" s="31"/>
      <c r="U27" s="78" t="s">
        <v>75</v>
      </c>
      <c r="V27" s="16">
        <v>412235.78125</v>
      </c>
      <c r="W27" s="17">
        <v>617151</v>
      </c>
      <c r="X27" s="79"/>
      <c r="Y27" s="31"/>
      <c r="Z27" s="56">
        <v>17</v>
      </c>
      <c r="AA27" s="80" t="s">
        <v>75</v>
      </c>
      <c r="AB27" s="21">
        <v>2156614</v>
      </c>
      <c r="AC27" s="17">
        <v>3454579</v>
      </c>
      <c r="AD27" s="16">
        <v>2294374</v>
      </c>
      <c r="AE27" s="107">
        <v>3448953</v>
      </c>
      <c r="AF27" s="21">
        <v>2416694</v>
      </c>
      <c r="AG27" s="17">
        <v>3389018</v>
      </c>
      <c r="AH27" s="16">
        <v>2782805</v>
      </c>
      <c r="AI27" s="107">
        <v>3744029</v>
      </c>
      <c r="AJ27" s="21">
        <v>3528848</v>
      </c>
      <c r="AK27" s="17">
        <v>4661677</v>
      </c>
      <c r="AL27" s="16">
        <v>4660493</v>
      </c>
      <c r="AM27" s="107">
        <v>6076128</v>
      </c>
      <c r="AN27" s="21">
        <v>5351345</v>
      </c>
      <c r="AO27" s="23">
        <v>6991909</v>
      </c>
      <c r="AP27" s="81"/>
      <c r="AQ27" s="82"/>
    </row>
    <row r="28" spans="2:43" x14ac:dyDescent="0.25">
      <c r="B28" s="75"/>
      <c r="D28" s="37"/>
      <c r="E28" s="56">
        <v>18</v>
      </c>
      <c r="F28" s="86" t="s">
        <v>55</v>
      </c>
      <c r="G28" s="106">
        <v>1891</v>
      </c>
      <c r="H28" s="13">
        <v>4971</v>
      </c>
      <c r="I28" s="12">
        <v>2296</v>
      </c>
      <c r="J28" s="13">
        <v>5400</v>
      </c>
      <c r="K28" s="84"/>
      <c r="L28" s="31"/>
      <c r="M28" s="31"/>
      <c r="N28" s="31"/>
      <c r="O28" s="31"/>
      <c r="P28" s="31"/>
      <c r="Q28" s="31"/>
      <c r="R28" s="31"/>
      <c r="S28" s="31"/>
      <c r="T28" s="31"/>
      <c r="U28" s="56" t="s">
        <v>76</v>
      </c>
      <c r="V28" s="16">
        <v>199673.703125</v>
      </c>
      <c r="W28" s="17">
        <v>334927.09375</v>
      </c>
      <c r="X28" s="79"/>
      <c r="Y28" s="31"/>
      <c r="Z28" s="56">
        <v>18</v>
      </c>
      <c r="AA28" s="91" t="s">
        <v>76</v>
      </c>
      <c r="AB28" s="21">
        <v>1443844</v>
      </c>
      <c r="AC28" s="17">
        <v>3249455</v>
      </c>
      <c r="AD28" s="16">
        <v>1789679</v>
      </c>
      <c r="AE28" s="107">
        <v>3703754</v>
      </c>
      <c r="AF28" s="21">
        <v>2180520</v>
      </c>
      <c r="AG28" s="17">
        <v>4123660</v>
      </c>
      <c r="AH28" s="16">
        <v>2431872</v>
      </c>
      <c r="AI28" s="107">
        <v>4294658</v>
      </c>
      <c r="AJ28" s="21">
        <v>2801869</v>
      </c>
      <c r="AK28" s="17">
        <v>4679658</v>
      </c>
      <c r="AL28" s="16">
        <v>3502349</v>
      </c>
      <c r="AM28" s="107">
        <v>5629408</v>
      </c>
      <c r="AN28" s="21">
        <v>4633400</v>
      </c>
      <c r="AO28" s="23">
        <v>7275426</v>
      </c>
      <c r="AP28" s="81"/>
      <c r="AQ28" s="82"/>
    </row>
    <row r="29" spans="2:43" ht="15.75" thickBot="1" x14ac:dyDescent="0.3">
      <c r="B29" s="92"/>
      <c r="D29" s="37"/>
      <c r="E29" s="93"/>
      <c r="F29" s="94" t="s">
        <v>17</v>
      </c>
      <c r="G29" s="95">
        <f>SUM(G11:G28)</f>
        <v>320395</v>
      </c>
      <c r="H29" s="90">
        <f>SUM(H11:H28)</f>
        <v>348603</v>
      </c>
      <c r="I29" s="95">
        <f>SUM(I11:I28)</f>
        <v>331355</v>
      </c>
      <c r="J29" s="90">
        <f>SUM(J11:J28)</f>
        <v>360538</v>
      </c>
      <c r="K29" s="84"/>
      <c r="L29" s="31"/>
      <c r="M29" s="31"/>
      <c r="N29" s="31"/>
      <c r="O29" s="31"/>
      <c r="P29" s="31"/>
      <c r="Q29" s="31"/>
      <c r="R29" s="31"/>
      <c r="S29" s="31"/>
      <c r="T29" s="31"/>
      <c r="U29" s="96" t="s">
        <v>77</v>
      </c>
      <c r="V29" s="18">
        <v>71138.671875</v>
      </c>
      <c r="W29" s="19">
        <v>140460.703125</v>
      </c>
      <c r="X29" s="79"/>
      <c r="Y29" s="31"/>
      <c r="Z29" s="93"/>
      <c r="AA29" s="97" t="s">
        <v>17</v>
      </c>
      <c r="AB29" s="95">
        <f>SUM(AB11:AB28)</f>
        <v>145815381</v>
      </c>
      <c r="AC29" s="95">
        <f t="shared" ref="AC29:AO29" si="2">SUM(AC11:AC28)</f>
        <v>150319521</v>
      </c>
      <c r="AD29" s="95">
        <f t="shared" si="2"/>
        <v>151781326</v>
      </c>
      <c r="AE29" s="95">
        <f t="shared" si="2"/>
        <v>156964212</v>
      </c>
      <c r="AF29" s="95">
        <f t="shared" si="2"/>
        <v>158345038</v>
      </c>
      <c r="AG29" s="95">
        <f t="shared" si="2"/>
        <v>163023826</v>
      </c>
      <c r="AH29" s="95">
        <f t="shared" si="2"/>
        <v>165036419</v>
      </c>
      <c r="AI29" s="95">
        <f t="shared" si="2"/>
        <v>169467039</v>
      </c>
      <c r="AJ29" s="95">
        <f t="shared" si="2"/>
        <v>171488788</v>
      </c>
      <c r="AK29" s="95">
        <f t="shared" si="2"/>
        <v>175846124</v>
      </c>
      <c r="AL29" s="95">
        <f t="shared" si="2"/>
        <v>177528413</v>
      </c>
      <c r="AM29" s="95">
        <f t="shared" si="2"/>
        <v>181873781</v>
      </c>
      <c r="AN29" s="95">
        <f t="shared" si="2"/>
        <v>183030417</v>
      </c>
      <c r="AO29" s="98">
        <f t="shared" si="2"/>
        <v>187307720</v>
      </c>
      <c r="AP29" s="99"/>
      <c r="AQ29" s="100"/>
    </row>
    <row r="30" spans="2:43" x14ac:dyDescent="0.25">
      <c r="B30" s="92"/>
      <c r="D30" s="37"/>
      <c r="H30" s="101"/>
      <c r="I30" s="101"/>
      <c r="J30" s="101"/>
      <c r="K30" s="102"/>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2"/>
    </row>
    <row r="31" spans="2:43" ht="15.75" thickBot="1" x14ac:dyDescent="0.3">
      <c r="B31" s="103"/>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5"/>
    </row>
    <row r="32" spans="2:43" ht="15.75" thickTop="1" x14ac:dyDescent="0.25"/>
  </sheetData>
  <sheetProtection password="DF21" sheet="1" formatCells="0" formatColumns="0" formatRows="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16B94-3D68-4DC8-A152-C15771F656A9}">
  <sheetPr>
    <pageSetUpPr fitToPage="1"/>
  </sheetPr>
  <dimension ref="B3:CZ466"/>
  <sheetViews>
    <sheetView zoomScaleNormal="100" workbookViewId="0"/>
  </sheetViews>
  <sheetFormatPr defaultRowHeight="15" x14ac:dyDescent="0.25"/>
  <cols>
    <col min="1" max="2" width="9.140625" style="25"/>
    <col min="3" max="3" width="14.140625" style="25" customWidth="1"/>
    <col min="4" max="4" width="16.42578125" style="25" customWidth="1"/>
    <col min="5" max="5" width="21.5703125" style="25" bestFit="1" customWidth="1"/>
    <col min="6" max="6" width="21.85546875" style="25" customWidth="1"/>
    <col min="7" max="7" width="20.140625" style="25" customWidth="1"/>
    <col min="8" max="8" width="21.28515625" style="25" customWidth="1"/>
    <col min="9" max="9" width="18.140625" style="25" customWidth="1"/>
    <col min="10" max="11" width="19" style="25" bestFit="1" customWidth="1"/>
    <col min="12" max="12" width="19.42578125" style="25" customWidth="1"/>
    <col min="13" max="13" width="19.28515625" style="25" customWidth="1"/>
    <col min="14" max="14" width="19.5703125" style="25" bestFit="1" customWidth="1"/>
    <col min="15" max="15" width="19.5703125" style="25" customWidth="1"/>
    <col min="16" max="16" width="19.42578125" style="25" customWidth="1"/>
    <col min="17" max="17" width="19.140625" style="25" bestFit="1" customWidth="1"/>
    <col min="18" max="18" width="19.42578125" style="25" customWidth="1"/>
    <col min="19" max="19" width="18.85546875" style="25" customWidth="1"/>
    <col min="20" max="20" width="19.7109375" style="25" bestFit="1" customWidth="1"/>
    <col min="21" max="21" width="17.85546875" style="25" bestFit="1" customWidth="1"/>
    <col min="22" max="22" width="18.7109375" style="25" customWidth="1"/>
    <col min="23" max="23" width="17.5703125" style="25" customWidth="1"/>
    <col min="24" max="24" width="16.85546875" style="25" bestFit="1" customWidth="1"/>
    <col min="25" max="25" width="16.85546875" style="25" customWidth="1"/>
    <col min="26" max="26" width="15.7109375" style="25" customWidth="1"/>
    <col min="27" max="27" width="18.140625" style="25" customWidth="1"/>
    <col min="28" max="28" width="16" style="25" customWidth="1"/>
    <col min="29" max="29" width="20.7109375" style="25" customWidth="1"/>
    <col min="30" max="30" width="20.5703125" style="25" customWidth="1"/>
    <col min="31" max="31" width="18.85546875" style="25" customWidth="1"/>
    <col min="32" max="32" width="19" style="25" customWidth="1"/>
    <col min="33" max="33" width="19.7109375" style="25" bestFit="1" customWidth="1"/>
    <col min="34" max="34" width="17.28515625" style="25" bestFit="1" customWidth="1"/>
    <col min="35" max="35" width="16.85546875" style="25" bestFit="1" customWidth="1"/>
    <col min="36" max="36" width="12.85546875" style="25" customWidth="1"/>
    <col min="37" max="37" width="17.7109375" style="25" bestFit="1" customWidth="1"/>
    <col min="38" max="38" width="11.42578125" style="25" bestFit="1" customWidth="1"/>
    <col min="39" max="40" width="9.140625" style="25"/>
    <col min="41" max="41" width="15" style="25" customWidth="1"/>
    <col min="42" max="42" width="19.5703125" style="25" bestFit="1" customWidth="1"/>
    <col min="43" max="43" width="20.140625" style="25" customWidth="1"/>
    <col min="44" max="44" width="20.28515625" style="25" customWidth="1"/>
    <col min="45" max="45" width="20.5703125" style="25" customWidth="1"/>
    <col min="46" max="46" width="19.7109375" style="25" bestFit="1" customWidth="1"/>
    <col min="47" max="47" width="17.28515625" style="25" bestFit="1" customWidth="1"/>
    <col min="48" max="48" width="16.85546875" style="25" bestFit="1" customWidth="1"/>
    <col min="49" max="49" width="12.5703125" style="25" customWidth="1"/>
    <col min="50" max="50" width="17.7109375" style="25" bestFit="1" customWidth="1"/>
    <col min="51" max="51" width="16.42578125" style="25" customWidth="1"/>
    <col min="52" max="52" width="9.140625" style="25"/>
    <col min="53" max="53" width="10.85546875" style="25" customWidth="1"/>
    <col min="54" max="54" width="17.42578125" style="25" customWidth="1"/>
    <col min="55" max="55" width="19.140625" style="25" customWidth="1"/>
    <col min="56" max="56" width="19.5703125" style="25" customWidth="1"/>
    <col min="57" max="57" width="20" style="25" customWidth="1"/>
    <col min="58" max="58" width="19.5703125" style="25" customWidth="1"/>
    <col min="59" max="59" width="19.7109375" style="25" bestFit="1" customWidth="1"/>
    <col min="60" max="60" width="17.140625" style="25" customWidth="1"/>
    <col min="61" max="61" width="16.140625" style="25" bestFit="1" customWidth="1"/>
    <col min="62" max="62" width="11.7109375" style="25" customWidth="1"/>
    <col min="63" max="63" width="17.7109375" style="25" bestFit="1" customWidth="1"/>
    <col min="64" max="64" width="17" style="25" customWidth="1"/>
    <col min="65" max="65" width="11.42578125" style="25" customWidth="1"/>
    <col min="66" max="66" width="9.140625" style="25"/>
    <col min="67" max="67" width="14.42578125" style="25" customWidth="1"/>
    <col min="68" max="68" width="18.7109375" style="25" customWidth="1"/>
    <col min="69" max="69" width="19.7109375" style="25" customWidth="1"/>
    <col min="70" max="70" width="20.28515625" style="25" customWidth="1"/>
    <col min="71" max="72" width="19.7109375" style="25" bestFit="1" customWidth="1"/>
    <col min="73" max="73" width="17.28515625" style="25" bestFit="1" customWidth="1"/>
    <col min="74" max="74" width="16.85546875" style="25" bestFit="1" customWidth="1"/>
    <col min="75" max="75" width="11.85546875" style="25" customWidth="1"/>
    <col min="76" max="76" width="17.7109375" style="25" bestFit="1" customWidth="1"/>
    <col min="77" max="77" width="14" style="25" customWidth="1"/>
    <col min="78" max="16384" width="9.140625" style="25"/>
  </cols>
  <sheetData>
    <row r="3" spans="2:14" x14ac:dyDescent="0.25">
      <c r="B3" s="25" t="str">
        <f>"Computing Five-Year Survival Rates: "&amp;Input!C12&amp;" "&amp;population&amp;" Population, "&amp;launch.year</f>
        <v>Computing Five-Year Survival Rates: United States Total Population, 2010</v>
      </c>
    </row>
    <row r="4" spans="2:14" ht="15.75" thickBot="1" x14ac:dyDescent="0.3"/>
    <row r="5" spans="2:14" x14ac:dyDescent="0.25">
      <c r="B5" s="108" t="s">
        <v>6</v>
      </c>
      <c r="C5" s="109" t="s">
        <v>78</v>
      </c>
      <c r="D5" s="110" t="s">
        <v>21</v>
      </c>
      <c r="E5" s="111"/>
      <c r="F5" s="112"/>
      <c r="G5" s="110" t="s">
        <v>20</v>
      </c>
      <c r="H5" s="111"/>
      <c r="I5" s="112"/>
      <c r="K5" s="113" t="s">
        <v>172</v>
      </c>
      <c r="L5" s="25" t="b">
        <f>target.year=launch.year+5</f>
        <v>0</v>
      </c>
    </row>
    <row r="6" spans="2:14" x14ac:dyDescent="0.25">
      <c r="B6" s="114" t="s">
        <v>31</v>
      </c>
      <c r="C6" s="115"/>
      <c r="D6" s="116" t="s">
        <v>98</v>
      </c>
      <c r="E6" s="117" t="s">
        <v>97</v>
      </c>
      <c r="F6" s="118" t="s">
        <v>99</v>
      </c>
      <c r="G6" s="116" t="s">
        <v>98</v>
      </c>
      <c r="H6" s="117" t="s">
        <v>97</v>
      </c>
      <c r="I6" s="118" t="s">
        <v>99</v>
      </c>
      <c r="K6" s="113" t="s">
        <v>27</v>
      </c>
      <c r="L6" s="25" t="b">
        <f>target.year=launch.year+10</f>
        <v>0</v>
      </c>
    </row>
    <row r="7" spans="2:14" x14ac:dyDescent="0.25">
      <c r="B7" s="119" t="s">
        <v>9</v>
      </c>
      <c r="C7" s="120" t="s">
        <v>10</v>
      </c>
      <c r="D7" s="119" t="s">
        <v>11</v>
      </c>
      <c r="E7" s="121" t="s">
        <v>12</v>
      </c>
      <c r="F7" s="122" t="s">
        <v>13</v>
      </c>
      <c r="G7" s="119" t="s">
        <v>14</v>
      </c>
      <c r="H7" s="121" t="s">
        <v>15</v>
      </c>
      <c r="I7" s="122" t="s">
        <v>16</v>
      </c>
      <c r="K7" s="113" t="s">
        <v>173</v>
      </c>
      <c r="L7" s="25" t="b">
        <f>target.year=launch.year+15</f>
        <v>0</v>
      </c>
    </row>
    <row r="8" spans="2:14" x14ac:dyDescent="0.25">
      <c r="B8" s="114">
        <v>0</v>
      </c>
      <c r="C8" s="118" t="s">
        <v>79</v>
      </c>
      <c r="D8" s="78" t="s">
        <v>95</v>
      </c>
      <c r="E8" s="123">
        <v>500000</v>
      </c>
      <c r="F8" s="124">
        <f t="shared" ref="F8:F25" si="0">E9/E8</f>
        <v>0.99412500000000004</v>
      </c>
      <c r="G8" s="78" t="s">
        <v>95</v>
      </c>
      <c r="H8" s="123">
        <v>500000</v>
      </c>
      <c r="I8" s="124">
        <f t="shared" ref="I8:I25" si="1">H9/H8</f>
        <v>0.99294199999999999</v>
      </c>
      <c r="K8" s="113" t="s">
        <v>28</v>
      </c>
      <c r="L8" s="25" t="b">
        <f>target.year=launch.year+20</f>
        <v>0</v>
      </c>
    </row>
    <row r="9" spans="2:14" x14ac:dyDescent="0.25">
      <c r="B9" s="114">
        <v>1</v>
      </c>
      <c r="C9" s="125" t="s">
        <v>38</v>
      </c>
      <c r="D9" s="126">
        <f>Input!W11</f>
        <v>8104166</v>
      </c>
      <c r="E9" s="123">
        <f>D9-D10</f>
        <v>497062.5</v>
      </c>
      <c r="F9" s="124">
        <f t="shared" si="0"/>
        <v>0.99911178171759085</v>
      </c>
      <c r="G9" s="126">
        <f>Input!V11</f>
        <v>7619509.5</v>
      </c>
      <c r="H9" s="123">
        <f>G9-G10</f>
        <v>496471</v>
      </c>
      <c r="I9" s="124">
        <f t="shared" si="1"/>
        <v>0.99883981138878197</v>
      </c>
      <c r="K9" s="113" t="s">
        <v>174</v>
      </c>
      <c r="L9" s="25" t="b">
        <f>target.year=launch.year+25</f>
        <v>0</v>
      </c>
      <c r="N9" s="113"/>
    </row>
    <row r="10" spans="2:14" x14ac:dyDescent="0.25">
      <c r="B10" s="114">
        <v>2</v>
      </c>
      <c r="C10" s="125" t="s">
        <v>39</v>
      </c>
      <c r="D10" s="126">
        <f>Input!W12</f>
        <v>7607103.5</v>
      </c>
      <c r="E10" s="123">
        <f t="shared" ref="E10:E26" si="2">D10-D11</f>
        <v>496621</v>
      </c>
      <c r="F10" s="124">
        <f t="shared" si="0"/>
        <v>0.99950867965712287</v>
      </c>
      <c r="G10" s="126">
        <f>Input!V12</f>
        <v>7123038.5</v>
      </c>
      <c r="H10" s="123">
        <f t="shared" ref="H10:H26" si="3">G10-G11</f>
        <v>495895</v>
      </c>
      <c r="I10" s="124">
        <f t="shared" si="1"/>
        <v>0.99944343056493812</v>
      </c>
      <c r="K10" s="113" t="s">
        <v>29</v>
      </c>
      <c r="L10" s="25" t="b">
        <f>target.year=launch.year+30</f>
        <v>1</v>
      </c>
    </row>
    <row r="11" spans="2:14" x14ac:dyDescent="0.25">
      <c r="B11" s="114">
        <v>3</v>
      </c>
      <c r="C11" s="125" t="s">
        <v>40</v>
      </c>
      <c r="D11" s="126">
        <f>Input!W13</f>
        <v>7110482.5</v>
      </c>
      <c r="E11" s="123">
        <f t="shared" si="2"/>
        <v>496377</v>
      </c>
      <c r="F11" s="124">
        <f t="shared" si="0"/>
        <v>0.99902392737777934</v>
      </c>
      <c r="G11" s="126">
        <f>Input!V13</f>
        <v>6627143.5</v>
      </c>
      <c r="H11" s="123">
        <f t="shared" si="3"/>
        <v>495619</v>
      </c>
      <c r="I11" s="124">
        <f t="shared" si="1"/>
        <v>0.99798030341855337</v>
      </c>
    </row>
    <row r="12" spans="2:14" x14ac:dyDescent="0.25">
      <c r="B12" s="114">
        <v>4</v>
      </c>
      <c r="C12" s="118" t="s">
        <v>80</v>
      </c>
      <c r="D12" s="126">
        <f>Input!W14</f>
        <v>6614105.5</v>
      </c>
      <c r="E12" s="123">
        <f t="shared" si="2"/>
        <v>495892.5</v>
      </c>
      <c r="F12" s="124">
        <f t="shared" si="0"/>
        <v>0.99816290829161558</v>
      </c>
      <c r="G12" s="126">
        <f>Input!V14</f>
        <v>6131524.5</v>
      </c>
      <c r="H12" s="123">
        <f t="shared" si="3"/>
        <v>494618</v>
      </c>
      <c r="I12" s="124">
        <f t="shared" si="1"/>
        <v>0.99500321460197572</v>
      </c>
    </row>
    <row r="13" spans="2:14" x14ac:dyDescent="0.25">
      <c r="B13" s="114">
        <v>5</v>
      </c>
      <c r="C13" s="118" t="s">
        <v>81</v>
      </c>
      <c r="D13" s="126">
        <f>Input!W15</f>
        <v>6118213</v>
      </c>
      <c r="E13" s="123">
        <f t="shared" si="2"/>
        <v>494981.5</v>
      </c>
      <c r="F13" s="124">
        <f t="shared" si="0"/>
        <v>0.99747869364814645</v>
      </c>
      <c r="G13" s="126">
        <f>Input!V15</f>
        <v>5636906.5</v>
      </c>
      <c r="H13" s="123">
        <f t="shared" si="3"/>
        <v>492146.5</v>
      </c>
      <c r="I13" s="124">
        <f t="shared" si="1"/>
        <v>0.99334649337138436</v>
      </c>
    </row>
    <row r="14" spans="2:14" x14ac:dyDescent="0.25">
      <c r="B14" s="114">
        <v>6</v>
      </c>
      <c r="C14" s="118" t="s">
        <v>82</v>
      </c>
      <c r="D14" s="126">
        <f>Input!W16</f>
        <v>5623231.5</v>
      </c>
      <c r="E14" s="123">
        <f t="shared" si="2"/>
        <v>493733.5</v>
      </c>
      <c r="F14" s="124">
        <f t="shared" si="0"/>
        <v>0.99683837535836639</v>
      </c>
      <c r="G14" s="126">
        <f>Input!V16</f>
        <v>5144760</v>
      </c>
      <c r="H14" s="123">
        <f t="shared" si="3"/>
        <v>488872</v>
      </c>
      <c r="I14" s="124">
        <f t="shared" si="1"/>
        <v>0.9929864054394606</v>
      </c>
    </row>
    <row r="15" spans="2:14" x14ac:dyDescent="0.25">
      <c r="B15" s="114">
        <v>7</v>
      </c>
      <c r="C15" s="118" t="s">
        <v>83</v>
      </c>
      <c r="D15" s="126">
        <f>Input!W17</f>
        <v>5129498</v>
      </c>
      <c r="E15" s="123">
        <f t="shared" si="2"/>
        <v>492172.5</v>
      </c>
      <c r="F15" s="124">
        <f t="shared" si="0"/>
        <v>0.99569053533060059</v>
      </c>
      <c r="G15" s="126">
        <f>Input!V17</f>
        <v>4655888</v>
      </c>
      <c r="H15" s="123">
        <f t="shared" si="3"/>
        <v>485443.25</v>
      </c>
      <c r="I15" s="124">
        <f t="shared" si="1"/>
        <v>0.9920654989022919</v>
      </c>
    </row>
    <row r="16" spans="2:14" x14ac:dyDescent="0.25">
      <c r="B16" s="114">
        <v>8</v>
      </c>
      <c r="C16" s="118" t="s">
        <v>84</v>
      </c>
      <c r="D16" s="126">
        <f>Input!W18</f>
        <v>4637325.5</v>
      </c>
      <c r="E16" s="123">
        <f t="shared" si="2"/>
        <v>490051.5</v>
      </c>
      <c r="F16" s="124">
        <f t="shared" si="0"/>
        <v>0.99376596133263539</v>
      </c>
      <c r="G16" s="126">
        <f>Input!V18</f>
        <v>4170444.75</v>
      </c>
      <c r="H16" s="123">
        <f t="shared" si="3"/>
        <v>481591.5</v>
      </c>
      <c r="I16" s="124">
        <f t="shared" si="1"/>
        <v>0.98976778036987778</v>
      </c>
    </row>
    <row r="17" spans="2:9" x14ac:dyDescent="0.25">
      <c r="B17" s="114">
        <v>9</v>
      </c>
      <c r="C17" s="118" t="s">
        <v>85</v>
      </c>
      <c r="D17" s="126">
        <f>Input!W19</f>
        <v>4147274</v>
      </c>
      <c r="E17" s="123">
        <f t="shared" si="2"/>
        <v>486996.5</v>
      </c>
      <c r="F17" s="124">
        <f t="shared" si="0"/>
        <v>0.9901344260174354</v>
      </c>
      <c r="G17" s="126">
        <f>Input!V19</f>
        <v>3688853.25</v>
      </c>
      <c r="H17" s="123">
        <f t="shared" si="3"/>
        <v>476663.75</v>
      </c>
      <c r="I17" s="124">
        <f t="shared" si="1"/>
        <v>0.98419116200885848</v>
      </c>
    </row>
    <row r="18" spans="2:9" x14ac:dyDescent="0.25">
      <c r="B18" s="114">
        <v>10</v>
      </c>
      <c r="C18" s="118" t="s">
        <v>86</v>
      </c>
      <c r="D18" s="126">
        <f>Input!W20</f>
        <v>3660277.5</v>
      </c>
      <c r="E18" s="123">
        <f t="shared" si="2"/>
        <v>482192</v>
      </c>
      <c r="F18" s="124">
        <f t="shared" si="0"/>
        <v>0.98461971579785645</v>
      </c>
      <c r="G18" s="126">
        <f>Input!V20</f>
        <v>3212189.5</v>
      </c>
      <c r="H18" s="123">
        <f t="shared" si="3"/>
        <v>469128.25</v>
      </c>
      <c r="I18" s="124">
        <f t="shared" si="1"/>
        <v>0.97522479194122291</v>
      </c>
    </row>
    <row r="19" spans="2:9" x14ac:dyDescent="0.25">
      <c r="B19" s="114">
        <v>11</v>
      </c>
      <c r="C19" s="118" t="s">
        <v>87</v>
      </c>
      <c r="D19" s="126">
        <f>Input!W21</f>
        <v>3178085.5</v>
      </c>
      <c r="E19" s="123">
        <f t="shared" si="2"/>
        <v>474775.75</v>
      </c>
      <c r="F19" s="124">
        <f t="shared" si="0"/>
        <v>0.9779764446688779</v>
      </c>
      <c r="G19" s="126">
        <f>Input!V21</f>
        <v>2743061.25</v>
      </c>
      <c r="H19" s="123">
        <f t="shared" si="3"/>
        <v>457505.5</v>
      </c>
      <c r="I19" s="124">
        <f t="shared" si="1"/>
        <v>0.96281738689480234</v>
      </c>
    </row>
    <row r="20" spans="2:9" x14ac:dyDescent="0.25">
      <c r="B20" s="114">
        <v>12</v>
      </c>
      <c r="C20" s="118" t="s">
        <v>88</v>
      </c>
      <c r="D20" s="126">
        <f>Input!W22</f>
        <v>2703309.75</v>
      </c>
      <c r="E20" s="123">
        <f t="shared" si="2"/>
        <v>464319.5</v>
      </c>
      <c r="F20" s="124">
        <f t="shared" si="0"/>
        <v>0.96822608139438471</v>
      </c>
      <c r="G20" s="126">
        <f>Input!V22</f>
        <v>2285555.75</v>
      </c>
      <c r="H20" s="123">
        <f t="shared" si="3"/>
        <v>440494.25</v>
      </c>
      <c r="I20" s="124">
        <f t="shared" si="1"/>
        <v>0.94713637011152818</v>
      </c>
    </row>
    <row r="21" spans="2:9" x14ac:dyDescent="0.25">
      <c r="B21" s="114">
        <v>13</v>
      </c>
      <c r="C21" s="118" t="s">
        <v>89</v>
      </c>
      <c r="D21" s="126">
        <f>Input!W23</f>
        <v>2238990.25</v>
      </c>
      <c r="E21" s="123">
        <f t="shared" si="2"/>
        <v>449566.25</v>
      </c>
      <c r="F21" s="124">
        <f t="shared" si="0"/>
        <v>0.95166201866799383</v>
      </c>
      <c r="G21" s="126">
        <f>Input!V23</f>
        <v>1845061.5</v>
      </c>
      <c r="H21" s="123">
        <f t="shared" si="3"/>
        <v>417208.125</v>
      </c>
      <c r="I21" s="124">
        <f t="shared" si="1"/>
        <v>0.92522691762055209</v>
      </c>
    </row>
    <row r="22" spans="2:9" x14ac:dyDescent="0.25">
      <c r="B22" s="114">
        <v>14</v>
      </c>
      <c r="C22" s="118" t="s">
        <v>90</v>
      </c>
      <c r="D22" s="126">
        <f>Input!W24</f>
        <v>1789424</v>
      </c>
      <c r="E22" s="123">
        <f t="shared" si="2"/>
        <v>427835.125</v>
      </c>
      <c r="F22" s="124">
        <f t="shared" si="0"/>
        <v>0.9248336318809729</v>
      </c>
      <c r="G22" s="126">
        <f>Input!V24</f>
        <v>1427853.375</v>
      </c>
      <c r="H22" s="123">
        <f t="shared" si="3"/>
        <v>386012.1875</v>
      </c>
      <c r="I22" s="124">
        <f t="shared" si="1"/>
        <v>0.88969470685430108</v>
      </c>
    </row>
    <row r="23" spans="2:9" x14ac:dyDescent="0.25">
      <c r="B23" s="114">
        <v>15</v>
      </c>
      <c r="C23" s="118" t="s">
        <v>91</v>
      </c>
      <c r="D23" s="126">
        <f>Input!W25</f>
        <v>1361588.875</v>
      </c>
      <c r="E23" s="123">
        <f t="shared" si="2"/>
        <v>395676.3125</v>
      </c>
      <c r="F23" s="124">
        <f t="shared" si="0"/>
        <v>0.88143149206082438</v>
      </c>
      <c r="G23" s="126">
        <f>Input!V25</f>
        <v>1041841.1875</v>
      </c>
      <c r="H23" s="123">
        <f t="shared" si="3"/>
        <v>343433</v>
      </c>
      <c r="I23" s="124">
        <f t="shared" si="1"/>
        <v>0.83326997187224294</v>
      </c>
    </row>
    <row r="24" spans="2:9" x14ac:dyDescent="0.25">
      <c r="B24" s="114">
        <v>16</v>
      </c>
      <c r="C24" s="118" t="s">
        <v>92</v>
      </c>
      <c r="D24" s="126">
        <f>Input!W26</f>
        <v>965912.5625</v>
      </c>
      <c r="E24" s="123">
        <f t="shared" si="2"/>
        <v>348761.5625</v>
      </c>
      <c r="F24" s="124">
        <f t="shared" si="0"/>
        <v>0.80921734673671208</v>
      </c>
      <c r="G24" s="126">
        <f>Input!V26</f>
        <v>698408.1875</v>
      </c>
      <c r="H24" s="123">
        <f t="shared" si="3"/>
        <v>286172.40625</v>
      </c>
      <c r="I24" s="124">
        <f t="shared" si="1"/>
        <v>0.74277628968638554</v>
      </c>
    </row>
    <row r="25" spans="2:9" x14ac:dyDescent="0.25">
      <c r="B25" s="114">
        <v>17</v>
      </c>
      <c r="C25" s="118" t="s">
        <v>93</v>
      </c>
      <c r="D25" s="126">
        <f>Input!W27</f>
        <v>617151</v>
      </c>
      <c r="E25" s="123">
        <f t="shared" si="2"/>
        <v>282223.90625</v>
      </c>
      <c r="F25" s="124">
        <f t="shared" si="0"/>
        <v>0.68905002842933327</v>
      </c>
      <c r="G25" s="126">
        <f>Input!V27</f>
        <v>412235.78125</v>
      </c>
      <c r="H25" s="123">
        <f t="shared" si="3"/>
        <v>212562.078125</v>
      </c>
      <c r="I25" s="124">
        <f t="shared" si="1"/>
        <v>0.60469408458837726</v>
      </c>
    </row>
    <row r="26" spans="2:9" x14ac:dyDescent="0.25">
      <c r="B26" s="114">
        <v>18</v>
      </c>
      <c r="C26" s="127" t="s">
        <v>94</v>
      </c>
      <c r="D26" s="126">
        <f>Input!W28</f>
        <v>334927.09375</v>
      </c>
      <c r="E26" s="123">
        <f t="shared" si="2"/>
        <v>194466.390625</v>
      </c>
      <c r="F26" s="124">
        <f>D27/D26</f>
        <v>0.41937695022620131</v>
      </c>
      <c r="G26" s="126">
        <f>Input!V28</f>
        <v>199673.703125</v>
      </c>
      <c r="H26" s="123">
        <f t="shared" si="3"/>
        <v>128535.03125</v>
      </c>
      <c r="I26" s="124">
        <f>G27/G26</f>
        <v>0.35627461584395853</v>
      </c>
    </row>
    <row r="27" spans="2:9" ht="15.75" thickBot="1" x14ac:dyDescent="0.3">
      <c r="B27" s="128" t="s">
        <v>95</v>
      </c>
      <c r="C27" s="129" t="s">
        <v>96</v>
      </c>
      <c r="D27" s="130">
        <f>Input!W29</f>
        <v>140460.703125</v>
      </c>
      <c r="E27" s="131" t="s">
        <v>95</v>
      </c>
      <c r="F27" s="132" t="s">
        <v>95</v>
      </c>
      <c r="G27" s="130">
        <f>Input!V29</f>
        <v>71138.671875</v>
      </c>
      <c r="H27" s="131" t="s">
        <v>95</v>
      </c>
      <c r="I27" s="132" t="s">
        <v>95</v>
      </c>
    </row>
    <row r="30" spans="2:9" x14ac:dyDescent="0.25">
      <c r="C30" s="25" t="s">
        <v>111</v>
      </c>
    </row>
    <row r="32" spans="2:9" x14ac:dyDescent="0.25">
      <c r="C32" s="113" t="str">
        <f>"s{1,2}^{"&amp;launch.year&amp;","&amp;launch.year+5&amp;"} = "</f>
        <v xml:space="preserve">s{1,2}^{2010,2015} = </v>
      </c>
      <c r="D32" s="133" t="s">
        <v>107</v>
      </c>
    </row>
    <row r="33" spans="2:12" x14ac:dyDescent="0.25">
      <c r="C33" s="134" t="s">
        <v>108</v>
      </c>
      <c r="D33" s="133" t="str">
        <f>TEXT($E$10,"#,##0")&amp;" / "&amp;TEXT($E$9,"#,##0")</f>
        <v>496,621 / 497,063</v>
      </c>
    </row>
    <row r="34" spans="2:12" x14ac:dyDescent="0.25">
      <c r="C34" s="134" t="s">
        <v>108</v>
      </c>
      <c r="D34" s="135">
        <f>$E$10/$E$9</f>
        <v>0.99911178171759085</v>
      </c>
    </row>
    <row r="35" spans="2:12" x14ac:dyDescent="0.25">
      <c r="C35" s="134"/>
      <c r="D35" s="136"/>
    </row>
    <row r="36" spans="2:12" x14ac:dyDescent="0.25">
      <c r="C36" s="113" t="str">
        <f>"s{0,1}^{"&amp;launch.year&amp;","&amp;launch.year+5&amp;"} = "</f>
        <v xml:space="preserve">s{0,1}^{2010,2015} = </v>
      </c>
      <c r="D36" s="133" t="s">
        <v>109</v>
      </c>
    </row>
    <row r="37" spans="2:12" x14ac:dyDescent="0.25">
      <c r="C37" s="134" t="str">
        <f>"= "</f>
        <v xml:space="preserve">= </v>
      </c>
      <c r="D37" s="135" t="str">
        <f>TEXT($E$9,"#,##0")&amp;" / 500,000"</f>
        <v>497,063 / 500,000</v>
      </c>
    </row>
    <row r="38" spans="2:12" x14ac:dyDescent="0.25">
      <c r="C38" s="134" t="str">
        <f>"= "</f>
        <v xml:space="preserve">= </v>
      </c>
      <c r="D38" s="135">
        <f>$E$9/500000</f>
        <v>0.99412500000000004</v>
      </c>
    </row>
    <row r="39" spans="2:12" x14ac:dyDescent="0.25">
      <c r="D39" s="133"/>
    </row>
    <row r="40" spans="2:12" x14ac:dyDescent="0.25">
      <c r="C40" s="113" t="str">
        <f>"s{18,18}^{"&amp;launch.year&amp;","&amp;launch.year+5&amp;"} = "</f>
        <v xml:space="preserve">s{18,18}^{2010,2015} = </v>
      </c>
      <c r="D40" s="133" t="s">
        <v>110</v>
      </c>
    </row>
    <row r="41" spans="2:12" x14ac:dyDescent="0.25">
      <c r="C41" s="134" t="str">
        <f>"= "</f>
        <v xml:space="preserve">= </v>
      </c>
      <c r="D41" s="133" t="str">
        <f>TEXT($D$27,"#,##0")&amp;" / "&amp;TEXT($D$26,"#,##0")</f>
        <v>140,461 / 334,927</v>
      </c>
    </row>
    <row r="42" spans="2:12" x14ac:dyDescent="0.25">
      <c r="C42" s="134" t="str">
        <f>"= "</f>
        <v xml:space="preserve">= </v>
      </c>
      <c r="D42" s="135">
        <f>$D$27/$D$26</f>
        <v>0.41937695022620131</v>
      </c>
    </row>
    <row r="46" spans="2:12" x14ac:dyDescent="0.25">
      <c r="B46" s="25" t="str">
        <f>"Computing Age-Specific Fertility Rates, "&amp;study.area&amp;", "&amp;launch.year-5&amp;"-"&amp;launch.year</f>
        <v>Computing Age-Specific Fertility Rates, DeKalb County, 2005-2010</v>
      </c>
    </row>
    <row r="47" spans="2:12" ht="15.75" thickBot="1" x14ac:dyDescent="0.3"/>
    <row r="48" spans="2:12" x14ac:dyDescent="0.25">
      <c r="B48" s="137"/>
      <c r="C48" s="138"/>
      <c r="D48" s="139"/>
      <c r="E48" s="49" t="s">
        <v>21</v>
      </c>
      <c r="F48" s="50"/>
      <c r="G48" s="50"/>
      <c r="H48" s="46"/>
      <c r="I48" s="49" t="s">
        <v>20</v>
      </c>
      <c r="J48" s="50"/>
      <c r="K48" s="50"/>
      <c r="L48" s="46"/>
    </row>
    <row r="49" spans="2:12" ht="30" x14ac:dyDescent="0.25">
      <c r="B49" s="140" t="s">
        <v>6</v>
      </c>
      <c r="C49" s="141" t="s">
        <v>102</v>
      </c>
      <c r="D49" s="142" t="s">
        <v>8</v>
      </c>
      <c r="E49" s="143" t="s">
        <v>79</v>
      </c>
      <c r="F49" s="144" t="s">
        <v>106</v>
      </c>
      <c r="G49" s="144" t="s">
        <v>103</v>
      </c>
      <c r="H49" s="145" t="s">
        <v>104</v>
      </c>
      <c r="I49" s="143" t="s">
        <v>79</v>
      </c>
      <c r="J49" s="144" t="s">
        <v>106</v>
      </c>
      <c r="K49" s="144" t="s">
        <v>103</v>
      </c>
      <c r="L49" s="145" t="s">
        <v>104</v>
      </c>
    </row>
    <row r="50" spans="2:12" x14ac:dyDescent="0.25">
      <c r="B50" s="56" t="s">
        <v>31</v>
      </c>
      <c r="C50" s="57"/>
      <c r="D50" s="91" t="str">
        <f>"PF{n}^"&amp;launch.year-5</f>
        <v>PF{n}^2005</v>
      </c>
      <c r="E50" s="56" t="str">
        <f>"BF{n}^"&amp;launch.year-5</f>
        <v>BF{n}^2005</v>
      </c>
      <c r="F50" s="57" t="str">
        <f>"ff{n,0}^{"&amp;launch.year-5&amp;"-"&amp;launch.year-4&amp;"}"</f>
        <v>ff{n,0}^{2005-2006}</v>
      </c>
      <c r="G50" s="57" t="str">
        <f>"ff{n,0}^{"&amp;launch.year-5&amp;"-"&amp;launch.year&amp;"}"</f>
        <v>ff{n,0}^{2005-2010}</v>
      </c>
      <c r="H50" s="91" t="str">
        <f>"ff{n,0}^{"&amp;launch.year-5&amp;"-"&amp;launch.year&amp;"}"</f>
        <v>ff{n,0}^{2005-2010}</v>
      </c>
      <c r="I50" s="56" t="str">
        <f>"BM{n}^"&amp;launch.year-5</f>
        <v>BM{n}^2005</v>
      </c>
      <c r="J50" s="57" t="str">
        <f>"fm{n,0}^{"&amp;launch.year-5&amp;"-"&amp;launch.year-4&amp;"}"</f>
        <v>fm{n,0}^{2005-2006}</v>
      </c>
      <c r="K50" s="57" t="str">
        <f>"fm{n,0}^{"&amp;launch.year-5&amp;"-"&amp;launch.year&amp;"}"</f>
        <v>fm{n,0}^{2005-2010}</v>
      </c>
      <c r="L50" s="91" t="str">
        <f>"fm{n,0}^{"&amp;launch.year-5&amp;"-"&amp;launch.year&amp;"}"</f>
        <v>fm{n,0}^{2005-2010}</v>
      </c>
    </row>
    <row r="51" spans="2:12" x14ac:dyDescent="0.25">
      <c r="B51" s="146" t="s">
        <v>9</v>
      </c>
      <c r="C51" s="147" t="s">
        <v>105</v>
      </c>
      <c r="D51" s="122" t="s">
        <v>11</v>
      </c>
      <c r="E51" s="146" t="s">
        <v>12</v>
      </c>
      <c r="F51" s="147" t="s">
        <v>13</v>
      </c>
      <c r="G51" s="147" t="s">
        <v>14</v>
      </c>
      <c r="H51" s="122" t="s">
        <v>15</v>
      </c>
      <c r="I51" s="146" t="s">
        <v>12</v>
      </c>
      <c r="J51" s="147" t="s">
        <v>13</v>
      </c>
      <c r="K51" s="147" t="s">
        <v>14</v>
      </c>
      <c r="L51" s="122" t="s">
        <v>15</v>
      </c>
    </row>
    <row r="52" spans="2:12" x14ac:dyDescent="0.25">
      <c r="B52" s="56">
        <v>3</v>
      </c>
      <c r="C52" s="148" t="s">
        <v>40</v>
      </c>
      <c r="D52" s="149">
        <f>Input!H13</f>
        <v>22591</v>
      </c>
      <c r="E52" s="150">
        <f>Input!P11</f>
        <v>0</v>
      </c>
      <c r="F52" s="151">
        <f t="shared" ref="F52:F60" si="4">E52/D52</f>
        <v>0</v>
      </c>
      <c r="G52" s="151">
        <f t="shared" ref="G52:G60" si="5">ROUND(F52*5,4)</f>
        <v>0</v>
      </c>
      <c r="H52" s="152">
        <f t="shared" ref="H52:H59" si="6">(G52+G53)/2</f>
        <v>5.985E-2</v>
      </c>
      <c r="I52" s="150">
        <f>Input!O11</f>
        <v>0</v>
      </c>
      <c r="J52" s="151">
        <f>I52/D52</f>
        <v>0</v>
      </c>
      <c r="K52" s="151">
        <f t="shared" ref="K52:K60" si="7">ROUND(J52*5,4)</f>
        <v>0</v>
      </c>
      <c r="L52" s="152">
        <f t="shared" ref="L52:L59" si="8">(K52+K53)/2</f>
        <v>6.1449999999999998E-2</v>
      </c>
    </row>
    <row r="53" spans="2:12" x14ac:dyDescent="0.25">
      <c r="B53" s="56">
        <v>4</v>
      </c>
      <c r="C53" s="57" t="s">
        <v>80</v>
      </c>
      <c r="D53" s="149">
        <f>Input!H14</f>
        <v>21972</v>
      </c>
      <c r="E53" s="150">
        <f>Input!P12</f>
        <v>526</v>
      </c>
      <c r="F53" s="151">
        <f t="shared" si="4"/>
        <v>2.3939559439286363E-2</v>
      </c>
      <c r="G53" s="151">
        <f t="shared" si="5"/>
        <v>0.1197</v>
      </c>
      <c r="H53" s="152">
        <f t="shared" si="6"/>
        <v>0.1822</v>
      </c>
      <c r="I53" s="150">
        <f>Input!O12</f>
        <v>540</v>
      </c>
      <c r="J53" s="151">
        <f t="shared" ref="J53:J60" si="9">I53/D53</f>
        <v>2.4576734025122882E-2</v>
      </c>
      <c r="K53" s="151">
        <f t="shared" si="7"/>
        <v>0.1229</v>
      </c>
      <c r="L53" s="152">
        <f t="shared" si="8"/>
        <v>0.18984999999999999</v>
      </c>
    </row>
    <row r="54" spans="2:12" x14ac:dyDescent="0.25">
      <c r="B54" s="56">
        <v>5</v>
      </c>
      <c r="C54" s="57" t="s">
        <v>81</v>
      </c>
      <c r="D54" s="149">
        <f>Input!H15</f>
        <v>25213</v>
      </c>
      <c r="E54" s="150">
        <f>Input!P13</f>
        <v>1234</v>
      </c>
      <c r="F54" s="151">
        <f t="shared" si="4"/>
        <v>4.894300559235315E-2</v>
      </c>
      <c r="G54" s="151">
        <f t="shared" si="5"/>
        <v>0.2447</v>
      </c>
      <c r="H54" s="152">
        <f>(G54+G55)/2</f>
        <v>0.23785000000000001</v>
      </c>
      <c r="I54" s="150">
        <f>Input!O13</f>
        <v>1295</v>
      </c>
      <c r="J54" s="151">
        <f t="shared" si="9"/>
        <v>5.1362392416610482E-2</v>
      </c>
      <c r="K54" s="151">
        <f t="shared" si="7"/>
        <v>0.25679999999999997</v>
      </c>
      <c r="L54" s="152">
        <f t="shared" si="8"/>
        <v>0.24874999999999997</v>
      </c>
    </row>
    <row r="55" spans="2:12" x14ac:dyDescent="0.25">
      <c r="B55" s="56">
        <v>6</v>
      </c>
      <c r="C55" s="57" t="s">
        <v>82</v>
      </c>
      <c r="D55" s="149">
        <f>Input!H16</f>
        <v>30435</v>
      </c>
      <c r="E55" s="150">
        <f>Input!P14</f>
        <v>1406</v>
      </c>
      <c r="F55" s="151">
        <f t="shared" si="4"/>
        <v>4.6196812879907997E-2</v>
      </c>
      <c r="G55" s="151">
        <f t="shared" si="5"/>
        <v>0.23100000000000001</v>
      </c>
      <c r="H55" s="152">
        <f t="shared" si="6"/>
        <v>0.22175</v>
      </c>
      <c r="I55" s="150">
        <f>Input!O14</f>
        <v>1465</v>
      </c>
      <c r="J55" s="151">
        <f t="shared" si="9"/>
        <v>4.8135370461639557E-2</v>
      </c>
      <c r="K55" s="151">
        <f t="shared" si="7"/>
        <v>0.2407</v>
      </c>
      <c r="L55" s="152">
        <f t="shared" si="8"/>
        <v>0.23654999999999998</v>
      </c>
    </row>
    <row r="56" spans="2:12" x14ac:dyDescent="0.25">
      <c r="B56" s="56">
        <v>7</v>
      </c>
      <c r="C56" s="57" t="s">
        <v>83</v>
      </c>
      <c r="D56" s="149">
        <f>Input!H17</f>
        <v>30093</v>
      </c>
      <c r="E56" s="150">
        <f>Input!P15</f>
        <v>1279</v>
      </c>
      <c r="F56" s="151">
        <f t="shared" si="4"/>
        <v>4.2501578440168809E-2</v>
      </c>
      <c r="G56" s="151">
        <f t="shared" si="5"/>
        <v>0.21249999999999999</v>
      </c>
      <c r="H56" s="152">
        <f t="shared" si="6"/>
        <v>0.17444999999999999</v>
      </c>
      <c r="I56" s="150">
        <f>Input!O15</f>
        <v>1399</v>
      </c>
      <c r="J56" s="151">
        <f t="shared" si="9"/>
        <v>4.6489216761373076E-2</v>
      </c>
      <c r="K56" s="151">
        <f t="shared" si="7"/>
        <v>0.2324</v>
      </c>
      <c r="L56" s="152">
        <f t="shared" si="8"/>
        <v>0.1837</v>
      </c>
    </row>
    <row r="57" spans="2:12" x14ac:dyDescent="0.25">
      <c r="B57" s="56">
        <v>8</v>
      </c>
      <c r="C57" s="57" t="s">
        <v>84</v>
      </c>
      <c r="D57" s="149">
        <f>Input!H18</f>
        <v>28848</v>
      </c>
      <c r="E57" s="150">
        <f>Input!P16</f>
        <v>787</v>
      </c>
      <c r="F57" s="151">
        <f t="shared" si="4"/>
        <v>2.7280920687742651E-2</v>
      </c>
      <c r="G57" s="151">
        <f t="shared" si="5"/>
        <v>0.13639999999999999</v>
      </c>
      <c r="H57" s="152">
        <f t="shared" si="6"/>
        <v>8.1049999999999997E-2</v>
      </c>
      <c r="I57" s="150">
        <f>Input!O16</f>
        <v>779</v>
      </c>
      <c r="J57" s="151">
        <f t="shared" si="9"/>
        <v>2.7003605102606767E-2</v>
      </c>
      <c r="K57" s="151">
        <f t="shared" si="7"/>
        <v>0.13500000000000001</v>
      </c>
      <c r="L57" s="152">
        <f t="shared" si="8"/>
        <v>8.1200000000000008E-2</v>
      </c>
    </row>
    <row r="58" spans="2:12" x14ac:dyDescent="0.25">
      <c r="B58" s="56">
        <v>9</v>
      </c>
      <c r="C58" s="57" t="s">
        <v>85</v>
      </c>
      <c r="D58" s="149">
        <f>Input!H19</f>
        <v>28252</v>
      </c>
      <c r="E58" s="150">
        <f>Input!P17</f>
        <v>145</v>
      </c>
      <c r="F58" s="151">
        <f t="shared" si="4"/>
        <v>5.1323800084949736E-3</v>
      </c>
      <c r="G58" s="151">
        <f t="shared" si="5"/>
        <v>2.5700000000000001E-2</v>
      </c>
      <c r="H58" s="152">
        <f t="shared" si="6"/>
        <v>1.4700000000000001E-2</v>
      </c>
      <c r="I58" s="150">
        <f>Input!O17</f>
        <v>155</v>
      </c>
      <c r="J58" s="151">
        <f t="shared" si="9"/>
        <v>5.4863372504601448E-3</v>
      </c>
      <c r="K58" s="151">
        <f t="shared" si="7"/>
        <v>2.7400000000000001E-2</v>
      </c>
      <c r="L58" s="152">
        <f t="shared" si="8"/>
        <v>1.525E-2</v>
      </c>
    </row>
    <row r="59" spans="2:12" x14ac:dyDescent="0.25">
      <c r="B59" s="56">
        <v>10</v>
      </c>
      <c r="C59" s="57" t="s">
        <v>86</v>
      </c>
      <c r="D59" s="149">
        <f>Input!H20</f>
        <v>25830</v>
      </c>
      <c r="E59" s="150">
        <f>Input!P18</f>
        <v>19</v>
      </c>
      <c r="F59" s="151">
        <f t="shared" si="4"/>
        <v>7.3557878435927216E-4</v>
      </c>
      <c r="G59" s="151">
        <f t="shared" si="5"/>
        <v>3.7000000000000002E-3</v>
      </c>
      <c r="H59" s="152">
        <f t="shared" si="6"/>
        <v>1.8500000000000001E-3</v>
      </c>
      <c r="I59" s="150">
        <f>Input!O18</f>
        <v>16</v>
      </c>
      <c r="J59" s="151">
        <f t="shared" si="9"/>
        <v>6.1943476577622919E-4</v>
      </c>
      <c r="K59" s="151">
        <f t="shared" si="7"/>
        <v>3.0999999999999999E-3</v>
      </c>
      <c r="L59" s="152">
        <f t="shared" si="8"/>
        <v>1.5499999999999999E-3</v>
      </c>
    </row>
    <row r="60" spans="2:12" x14ac:dyDescent="0.25">
      <c r="B60" s="153">
        <v>11</v>
      </c>
      <c r="C60" s="154" t="s">
        <v>87</v>
      </c>
      <c r="D60" s="149">
        <f>Input!H21</f>
        <v>23625</v>
      </c>
      <c r="E60" s="150">
        <f>Input!P19</f>
        <v>0</v>
      </c>
      <c r="F60" s="151">
        <f t="shared" si="4"/>
        <v>0</v>
      </c>
      <c r="G60" s="155">
        <f t="shared" si="5"/>
        <v>0</v>
      </c>
      <c r="H60" s="156">
        <f>G60</f>
        <v>0</v>
      </c>
      <c r="I60" s="150">
        <f>Input!O19</f>
        <v>0</v>
      </c>
      <c r="J60" s="151">
        <f t="shared" si="9"/>
        <v>0</v>
      </c>
      <c r="K60" s="155">
        <f t="shared" si="7"/>
        <v>0</v>
      </c>
      <c r="L60" s="156">
        <f>K60</f>
        <v>0</v>
      </c>
    </row>
    <row r="61" spans="2:12" ht="15.75" thickBot="1" x14ac:dyDescent="0.3">
      <c r="B61" s="87" t="s">
        <v>17</v>
      </c>
      <c r="C61" s="88" t="s">
        <v>95</v>
      </c>
      <c r="D61" s="157" t="s">
        <v>95</v>
      </c>
      <c r="E61" s="95">
        <f>SUM(E52:E59)</f>
        <v>5396</v>
      </c>
      <c r="F61" s="88" t="s">
        <v>95</v>
      </c>
      <c r="G61" s="158" t="s">
        <v>95</v>
      </c>
      <c r="H61" s="159" t="s">
        <v>95</v>
      </c>
      <c r="I61" s="95">
        <f>SUM(I52:I59)</f>
        <v>5649</v>
      </c>
      <c r="J61" s="88" t="s">
        <v>95</v>
      </c>
      <c r="K61" s="158" t="s">
        <v>95</v>
      </c>
      <c r="L61" s="159" t="s">
        <v>95</v>
      </c>
    </row>
    <row r="64" spans="2:12" x14ac:dyDescent="0.25">
      <c r="C64" s="133" t="s">
        <v>112</v>
      </c>
      <c r="H64" s="133" t="s">
        <v>113</v>
      </c>
    </row>
    <row r="66" spans="3:9" x14ac:dyDescent="0.25">
      <c r="C66" s="113" t="str">
        <f>"ff{4,0}^{"&amp;launch.year-5&amp;","&amp;launch.year-4&amp;"} ="</f>
        <v>ff{4,0}^{2005,2006} =</v>
      </c>
      <c r="D66" s="133" t="str">
        <f>"BF{4}^"&amp;launch.year-5&amp;" / PF{4}^"&amp;launch.year-5</f>
        <v>BF{4}^2005 / PF{4}^2005</v>
      </c>
      <c r="H66" s="113" t="str">
        <f>"fm{4,0}^{"&amp;launch.year-5&amp;","&amp;launch.year-4&amp;"} ="</f>
        <v>fm{4,0}^{2005,2006} =</v>
      </c>
      <c r="I66" s="133" t="str">
        <f>"BM{4}^"&amp;launch.year-5&amp;" / PF{4}^"&amp;launch.year-5</f>
        <v>BM{4}^2005 / PF{4}^2005</v>
      </c>
    </row>
    <row r="67" spans="3:9" x14ac:dyDescent="0.25">
      <c r="C67" s="134" t="s">
        <v>108</v>
      </c>
      <c r="D67" s="133" t="str">
        <f>TEXT($E$53,"#,##0")&amp;" / "&amp;TEXT($D$53,"#,##0")</f>
        <v>526 / 21,972</v>
      </c>
      <c r="H67" s="134" t="s">
        <v>108</v>
      </c>
      <c r="I67" s="133" t="str">
        <f>TEXT($I$53,"#,##0")&amp;" / "&amp;TEXT($D$53,"#,##0")</f>
        <v>540 / 21,972</v>
      </c>
    </row>
    <row r="68" spans="3:9" x14ac:dyDescent="0.25">
      <c r="C68" s="134" t="s">
        <v>108</v>
      </c>
      <c r="D68" s="135">
        <f>$E$53/$D$53</f>
        <v>2.3939559439286363E-2</v>
      </c>
      <c r="H68" s="134" t="s">
        <v>108</v>
      </c>
      <c r="I68" s="135">
        <f>$I$53/$D$53</f>
        <v>2.4576734025122882E-2</v>
      </c>
    </row>
    <row r="69" spans="3:9" x14ac:dyDescent="0.25">
      <c r="H69" s="113"/>
    </row>
    <row r="70" spans="3:9" x14ac:dyDescent="0.25">
      <c r="C70" s="113" t="str">
        <f>"ff{4,0}^{"&amp;launch.year-5&amp;","&amp;launch.year&amp;"} ="</f>
        <v>ff{4,0}^{2005,2010} =</v>
      </c>
      <c r="D70" s="133" t="str">
        <f>"ff{4,0}^{"&amp;launch.year-5&amp;","&amp;launch.year-4&amp;"} X 5"</f>
        <v>ff{4,0}^{2005,2006} X 5</v>
      </c>
      <c r="H70" s="113" t="str">
        <f>"fm{4,0}^{"&amp;launch.year-5&amp;","&amp;launch.year&amp;"} ="</f>
        <v>fm{4,0}^{2005,2010} =</v>
      </c>
      <c r="I70" s="133" t="str">
        <f>"fm{4,0}^{"&amp;launch.year-5&amp;","&amp;launch.year-4&amp;"} X 5"</f>
        <v>fm{4,0}^{2005,2006} X 5</v>
      </c>
    </row>
    <row r="71" spans="3:9" x14ac:dyDescent="0.25">
      <c r="C71" s="134" t="s">
        <v>108</v>
      </c>
      <c r="D71" s="133" t="str">
        <f>TEXT($F$53,"#0.###0")&amp;" X 5"</f>
        <v>0.0239 X 5</v>
      </c>
      <c r="H71" s="134" t="s">
        <v>108</v>
      </c>
      <c r="I71" s="133" t="str">
        <f>TEXT($J$53,"#0.###0")&amp;" X 5"</f>
        <v>0.0246 X 5</v>
      </c>
    </row>
    <row r="72" spans="3:9" x14ac:dyDescent="0.25">
      <c r="C72" s="134" t="s">
        <v>108</v>
      </c>
      <c r="D72" s="135">
        <f>$F$53*5</f>
        <v>0.11969779719643181</v>
      </c>
      <c r="H72" s="134" t="s">
        <v>108</v>
      </c>
      <c r="I72" s="135">
        <f>$J$53*5</f>
        <v>0.12288367012561441</v>
      </c>
    </row>
    <row r="73" spans="3:9" x14ac:dyDescent="0.25">
      <c r="H73" s="113"/>
    </row>
    <row r="74" spans="3:9" x14ac:dyDescent="0.25">
      <c r="C74" s="133" t="s">
        <v>114</v>
      </c>
      <c r="H74" s="133" t="s">
        <v>115</v>
      </c>
    </row>
    <row r="75" spans="3:9" x14ac:dyDescent="0.25">
      <c r="H75" s="113"/>
    </row>
    <row r="76" spans="3:9" x14ac:dyDescent="0.25">
      <c r="C76" s="113" t="str">
        <f>"ff{3,0}^{"&amp;launch.year-5&amp;","&amp;launch.year&amp;"} ="</f>
        <v>ff{3,0}^{2005,2010} =</v>
      </c>
      <c r="D76" s="133" t="str">
        <f>"[ ff{3,0}^{"&amp;launch.year-5&amp;","&amp;launch.year&amp;"} + ff{4,0}^{"&amp;launch.year-5&amp;","&amp;launch.year&amp;"} ] / 2"</f>
        <v>[ ff{3,0}^{2005,2010} + ff{4,0}^{2005,2010} ] / 2</v>
      </c>
      <c r="H76" s="113" t="str">
        <f>"fm{3,0}^{"&amp;launch.year-5&amp;","&amp;launch.year&amp;"} ="</f>
        <v>fm{3,0}^{2005,2010} =</v>
      </c>
      <c r="I76" s="133" t="str">
        <f>"[ fm{3,0}^{"&amp;launch.year-5&amp;","&amp;launch.year&amp;"} + fm{4,0}^{"&amp;launch.year-5&amp;","&amp;launch.year&amp;"} ] / 2"</f>
        <v>[ fm{3,0}^{2005,2010} + fm{4,0}^{2005,2010} ] / 2</v>
      </c>
    </row>
    <row r="77" spans="3:9" x14ac:dyDescent="0.25">
      <c r="C77" s="134" t="s">
        <v>108</v>
      </c>
      <c r="D77" s="133" t="str">
        <f>"("&amp;TEXT($G$52,"##0.0000")&amp;" + "&amp;TEXT($G$53,"#0.0000")&amp;") / 2"</f>
        <v>(0.0000 + 0.1197) / 2</v>
      </c>
      <c r="H77" s="134" t="s">
        <v>108</v>
      </c>
      <c r="I77" s="133" t="str">
        <f>"("&amp;TEXT($K$52,"##0.0000")&amp;" + "&amp;TEXT($K$53,"#0.0000")&amp;") / 2"</f>
        <v>(0.0000 + 0.1229) / 2</v>
      </c>
    </row>
    <row r="78" spans="3:9" x14ac:dyDescent="0.25">
      <c r="C78" s="134" t="s">
        <v>108</v>
      </c>
      <c r="D78" s="135">
        <f>($G$52+$G$53)/2</f>
        <v>5.985E-2</v>
      </c>
      <c r="H78" s="134" t="s">
        <v>108</v>
      </c>
      <c r="I78" s="135">
        <f>($K$52+$K$53)/2</f>
        <v>6.1449999999999998E-2</v>
      </c>
    </row>
    <row r="79" spans="3:9" x14ac:dyDescent="0.25">
      <c r="H79" s="113"/>
    </row>
    <row r="82" spans="2:12" x14ac:dyDescent="0.25">
      <c r="B82" s="25" t="str">
        <f>"Computing Age-Specific Fertility Rates, "&amp;study.area&amp;", "&amp;launch.year&amp;"-"&amp;launch.year+5</f>
        <v>Computing Age-Specific Fertility Rates, DeKalb County, 2010-2015</v>
      </c>
    </row>
    <row r="83" spans="2:12" ht="15.75" thickBot="1" x14ac:dyDescent="0.3"/>
    <row r="84" spans="2:12" x14ac:dyDescent="0.25">
      <c r="B84" s="137"/>
      <c r="C84" s="138"/>
      <c r="D84" s="139"/>
      <c r="E84" s="49" t="s">
        <v>21</v>
      </c>
      <c r="F84" s="50"/>
      <c r="G84" s="50"/>
      <c r="H84" s="46"/>
      <c r="I84" s="49" t="s">
        <v>20</v>
      </c>
      <c r="J84" s="50"/>
      <c r="K84" s="50"/>
      <c r="L84" s="46"/>
    </row>
    <row r="85" spans="2:12" ht="30" x14ac:dyDescent="0.25">
      <c r="B85" s="140" t="s">
        <v>6</v>
      </c>
      <c r="C85" s="141" t="s">
        <v>102</v>
      </c>
      <c r="D85" s="142" t="s">
        <v>8</v>
      </c>
      <c r="E85" s="143" t="s">
        <v>79</v>
      </c>
      <c r="F85" s="144" t="s">
        <v>106</v>
      </c>
      <c r="G85" s="144" t="s">
        <v>103</v>
      </c>
      <c r="H85" s="145" t="s">
        <v>104</v>
      </c>
      <c r="I85" s="143" t="s">
        <v>79</v>
      </c>
      <c r="J85" s="144" t="s">
        <v>106</v>
      </c>
      <c r="K85" s="144" t="s">
        <v>103</v>
      </c>
      <c r="L85" s="145" t="s">
        <v>104</v>
      </c>
    </row>
    <row r="86" spans="2:12" x14ac:dyDescent="0.25">
      <c r="B86" s="56" t="s">
        <v>31</v>
      </c>
      <c r="C86" s="57"/>
      <c r="D86" s="91" t="str">
        <f>"PF{n}^"&amp;launch.year</f>
        <v>PF{n}^2010</v>
      </c>
      <c r="E86" s="56" t="str">
        <f>"BF{n}^"&amp;launch.year</f>
        <v>BF{n}^2010</v>
      </c>
      <c r="F86" s="57" t="str">
        <f>"ff{n,0}^{"&amp;launch.year&amp;"-"&amp;launch.year+1&amp;"}"</f>
        <v>ff{n,0}^{2010-2011}</v>
      </c>
      <c r="G86" s="57" t="str">
        <f>"ff{n,0}^{"&amp;launch.year&amp;"-"&amp;launch.year+5&amp;"}"</f>
        <v>ff{n,0}^{2010-2015}</v>
      </c>
      <c r="H86" s="91" t="str">
        <f>"ff{n,0}^{"&amp;launch.year&amp;"-"&amp;launch.year+5&amp;"}"</f>
        <v>ff{n,0}^{2010-2015}</v>
      </c>
      <c r="I86" s="56" t="str">
        <f>"BM{n}^"&amp;launch.year</f>
        <v>BM{n}^2010</v>
      </c>
      <c r="J86" s="57" t="str">
        <f>"fm{n,0}^{"&amp;launch.year&amp;"-"&amp;launch.year+1&amp;"}"</f>
        <v>fm{n,0}^{2010-2011}</v>
      </c>
      <c r="K86" s="57" t="str">
        <f>"fm{n,0}^{"&amp;launch.year&amp;"-"&amp;launch.year+5&amp;"}"</f>
        <v>fm{n,0}^{2010-2015}</v>
      </c>
      <c r="L86" s="91" t="str">
        <f>"fm{n,0}^{"&amp;launch.year&amp;"-"&amp;launch.year+5&amp;"}"</f>
        <v>fm{n,0}^{2010-2015}</v>
      </c>
    </row>
    <row r="87" spans="2:12" x14ac:dyDescent="0.25">
      <c r="B87" s="146" t="s">
        <v>9</v>
      </c>
      <c r="C87" s="147" t="s">
        <v>105</v>
      </c>
      <c r="D87" s="122" t="s">
        <v>11</v>
      </c>
      <c r="E87" s="146" t="s">
        <v>12</v>
      </c>
      <c r="F87" s="147" t="s">
        <v>13</v>
      </c>
      <c r="G87" s="147" t="s">
        <v>14</v>
      </c>
      <c r="H87" s="122" t="s">
        <v>15</v>
      </c>
      <c r="I87" s="146" t="s">
        <v>12</v>
      </c>
      <c r="J87" s="147" t="s">
        <v>13</v>
      </c>
      <c r="K87" s="147" t="s">
        <v>14</v>
      </c>
      <c r="L87" s="122" t="s">
        <v>15</v>
      </c>
    </row>
    <row r="88" spans="2:12" x14ac:dyDescent="0.25">
      <c r="B88" s="56">
        <v>3</v>
      </c>
      <c r="C88" s="148" t="s">
        <v>40</v>
      </c>
      <c r="D88" s="149">
        <f>Input!J13</f>
        <v>20882</v>
      </c>
      <c r="E88" s="150">
        <f>Input!R11</f>
        <v>0</v>
      </c>
      <c r="F88" s="151">
        <f t="shared" ref="F88:F96" si="10">E88/D88</f>
        <v>0</v>
      </c>
      <c r="G88" s="151">
        <f t="shared" ref="G88:G96" si="11">ROUND(F88*5,4)</f>
        <v>0</v>
      </c>
      <c r="H88" s="152">
        <f t="shared" ref="H88:H95" si="12">(G88+G89)/2</f>
        <v>5.16E-2</v>
      </c>
      <c r="I88" s="150">
        <f>Input!Q11</f>
        <v>8</v>
      </c>
      <c r="J88" s="151">
        <f>I88/D88</f>
        <v>3.8310506656450533E-4</v>
      </c>
      <c r="K88" s="151">
        <f t="shared" ref="K88:K96" si="13">ROUND(J88*5,4)</f>
        <v>1.9E-3</v>
      </c>
      <c r="L88" s="152">
        <f t="shared" ref="L88:L95" si="14">(K88+K89)/2</f>
        <v>5.4149999999999997E-2</v>
      </c>
    </row>
    <row r="89" spans="2:12" x14ac:dyDescent="0.25">
      <c r="B89" s="56">
        <v>4</v>
      </c>
      <c r="C89" s="57" t="s">
        <v>80</v>
      </c>
      <c r="D89" s="149">
        <f>Input!J14</f>
        <v>21906</v>
      </c>
      <c r="E89" s="150">
        <f>Input!R12</f>
        <v>452</v>
      </c>
      <c r="F89" s="151">
        <f t="shared" si="10"/>
        <v>2.0633616360814389E-2</v>
      </c>
      <c r="G89" s="151">
        <f t="shared" si="11"/>
        <v>0.1032</v>
      </c>
      <c r="H89" s="152">
        <f t="shared" si="12"/>
        <v>0.16005</v>
      </c>
      <c r="I89" s="150">
        <f>Input!Q12</f>
        <v>466.33333333333331</v>
      </c>
      <c r="J89" s="151">
        <f t="shared" ref="J89:J96" si="15">I89/D89</f>
        <v>2.128792720411455E-2</v>
      </c>
      <c r="K89" s="151">
        <f t="shared" si="13"/>
        <v>0.10639999999999999</v>
      </c>
      <c r="L89" s="152">
        <f t="shared" si="14"/>
        <v>0.1696</v>
      </c>
    </row>
    <row r="90" spans="2:12" x14ac:dyDescent="0.25">
      <c r="B90" s="56">
        <v>5</v>
      </c>
      <c r="C90" s="57" t="s">
        <v>81</v>
      </c>
      <c r="D90" s="149">
        <f>Input!J15</f>
        <v>26144</v>
      </c>
      <c r="E90" s="150">
        <f>Input!R13</f>
        <v>1134.3333333333333</v>
      </c>
      <c r="F90" s="151">
        <f t="shared" si="10"/>
        <v>4.3387902896776825E-2</v>
      </c>
      <c r="G90" s="151">
        <f t="shared" si="11"/>
        <v>0.21690000000000001</v>
      </c>
      <c r="H90" s="152">
        <f t="shared" si="12"/>
        <v>0.21810000000000002</v>
      </c>
      <c r="I90" s="150">
        <f>Input!Q13</f>
        <v>1217.3333333333333</v>
      </c>
      <c r="J90" s="151">
        <f t="shared" si="15"/>
        <v>4.6562627498980005E-2</v>
      </c>
      <c r="K90" s="151">
        <f t="shared" si="13"/>
        <v>0.23280000000000001</v>
      </c>
      <c r="L90" s="152">
        <f t="shared" si="14"/>
        <v>0.23199999999999998</v>
      </c>
    </row>
    <row r="91" spans="2:12" x14ac:dyDescent="0.25">
      <c r="B91" s="56">
        <v>6</v>
      </c>
      <c r="C91" s="57" t="s">
        <v>82</v>
      </c>
      <c r="D91" s="149">
        <f>Input!J16</f>
        <v>31514</v>
      </c>
      <c r="E91" s="150">
        <f>Input!R14</f>
        <v>1382</v>
      </c>
      <c r="F91" s="151">
        <f t="shared" si="10"/>
        <v>4.3853525417274865E-2</v>
      </c>
      <c r="G91" s="151">
        <f t="shared" si="11"/>
        <v>0.21929999999999999</v>
      </c>
      <c r="H91" s="152">
        <f t="shared" si="12"/>
        <v>0.22970000000000002</v>
      </c>
      <c r="I91" s="150">
        <f>Input!Q14</f>
        <v>1457</v>
      </c>
      <c r="J91" s="151">
        <f t="shared" si="15"/>
        <v>4.6233420067271686E-2</v>
      </c>
      <c r="K91" s="151">
        <f t="shared" si="13"/>
        <v>0.23119999999999999</v>
      </c>
      <c r="L91" s="152">
        <f t="shared" si="14"/>
        <v>0.24249999999999999</v>
      </c>
    </row>
    <row r="92" spans="2:12" x14ac:dyDescent="0.25">
      <c r="B92" s="56">
        <v>7</v>
      </c>
      <c r="C92" s="57" t="s">
        <v>83</v>
      </c>
      <c r="D92" s="149">
        <f>Input!J17</f>
        <v>29579</v>
      </c>
      <c r="E92" s="150">
        <f>Input!R15</f>
        <v>1420.3333333333333</v>
      </c>
      <c r="F92" s="151">
        <f t="shared" si="10"/>
        <v>4.8018301272299037E-2</v>
      </c>
      <c r="G92" s="151">
        <f t="shared" si="11"/>
        <v>0.24010000000000001</v>
      </c>
      <c r="H92" s="152">
        <f t="shared" si="12"/>
        <v>0.18809999999999999</v>
      </c>
      <c r="I92" s="150">
        <f>Input!Q15</f>
        <v>1501.3333333333333</v>
      </c>
      <c r="J92" s="151">
        <f t="shared" si="15"/>
        <v>5.0756730563350123E-2</v>
      </c>
      <c r="K92" s="151">
        <f t="shared" si="13"/>
        <v>0.25380000000000003</v>
      </c>
      <c r="L92" s="152">
        <f t="shared" si="14"/>
        <v>0.19985000000000003</v>
      </c>
    </row>
    <row r="93" spans="2:12" x14ac:dyDescent="0.25">
      <c r="B93" s="56">
        <v>8</v>
      </c>
      <c r="C93" s="57" t="s">
        <v>84</v>
      </c>
      <c r="D93" s="149">
        <f>Input!J18</f>
        <v>28245</v>
      </c>
      <c r="E93" s="150">
        <f>Input!R16</f>
        <v>768.66666666666663</v>
      </c>
      <c r="F93" s="151">
        <f t="shared" si="10"/>
        <v>2.7214256210538738E-2</v>
      </c>
      <c r="G93" s="151">
        <f t="shared" si="11"/>
        <v>0.1361</v>
      </c>
      <c r="H93" s="152">
        <f t="shared" si="12"/>
        <v>8.5400000000000004E-2</v>
      </c>
      <c r="I93" s="150">
        <f>Input!Q16</f>
        <v>824</v>
      </c>
      <c r="J93" s="151">
        <f t="shared" si="15"/>
        <v>2.9173305009736236E-2</v>
      </c>
      <c r="K93" s="151">
        <f t="shared" si="13"/>
        <v>0.1459</v>
      </c>
      <c r="L93" s="152">
        <f t="shared" si="14"/>
        <v>9.0700000000000003E-2</v>
      </c>
    </row>
    <row r="94" spans="2:12" x14ac:dyDescent="0.25">
      <c r="B94" s="56">
        <v>9</v>
      </c>
      <c r="C94" s="57" t="s">
        <v>85</v>
      </c>
      <c r="D94" s="149">
        <f>Input!J19</f>
        <v>26511</v>
      </c>
      <c r="E94" s="150">
        <f>Input!R17</f>
        <v>184</v>
      </c>
      <c r="F94" s="151">
        <f t="shared" si="10"/>
        <v>6.9405152578175099E-3</v>
      </c>
      <c r="G94" s="151">
        <f t="shared" si="11"/>
        <v>3.4700000000000002E-2</v>
      </c>
      <c r="H94" s="152">
        <f t="shared" si="12"/>
        <v>1.8200000000000001E-2</v>
      </c>
      <c r="I94" s="150">
        <f>Input!Q17</f>
        <v>188.33333333333334</v>
      </c>
      <c r="J94" s="151">
        <f t="shared" si="15"/>
        <v>7.1039694214979953E-3</v>
      </c>
      <c r="K94" s="151">
        <f t="shared" si="13"/>
        <v>3.5499999999999997E-2</v>
      </c>
      <c r="L94" s="152">
        <f t="shared" si="14"/>
        <v>1.9149999999999997E-2</v>
      </c>
    </row>
    <row r="95" spans="2:12" x14ac:dyDescent="0.25">
      <c r="B95" s="56">
        <v>10</v>
      </c>
      <c r="C95" s="57" t="s">
        <v>86</v>
      </c>
      <c r="D95" s="149">
        <f>Input!J20</f>
        <v>26424</v>
      </c>
      <c r="E95" s="150">
        <f>Input!R18</f>
        <v>9</v>
      </c>
      <c r="F95" s="151">
        <f t="shared" si="10"/>
        <v>3.4059945504087192E-4</v>
      </c>
      <c r="G95" s="151">
        <f t="shared" si="11"/>
        <v>1.6999999999999999E-3</v>
      </c>
      <c r="H95" s="152">
        <f t="shared" si="12"/>
        <v>8.4999999999999995E-4</v>
      </c>
      <c r="I95" s="150">
        <f>Input!Q18</f>
        <v>15</v>
      </c>
      <c r="J95" s="151">
        <f t="shared" si="15"/>
        <v>5.6766575840145326E-4</v>
      </c>
      <c r="K95" s="151">
        <f t="shared" si="13"/>
        <v>2.8E-3</v>
      </c>
      <c r="L95" s="152">
        <f t="shared" si="14"/>
        <v>1.4E-3</v>
      </c>
    </row>
    <row r="96" spans="2:12" x14ac:dyDescent="0.25">
      <c r="B96" s="153">
        <v>11</v>
      </c>
      <c r="C96" s="154" t="s">
        <v>87</v>
      </c>
      <c r="D96" s="149">
        <f>Input!J21</f>
        <v>24984</v>
      </c>
      <c r="E96" s="150">
        <f>Input!R19</f>
        <v>0</v>
      </c>
      <c r="F96" s="151">
        <f t="shared" si="10"/>
        <v>0</v>
      </c>
      <c r="G96" s="155">
        <f t="shared" si="11"/>
        <v>0</v>
      </c>
      <c r="H96" s="156">
        <f>G96</f>
        <v>0</v>
      </c>
      <c r="I96" s="150">
        <f>Input!Q19</f>
        <v>0</v>
      </c>
      <c r="J96" s="151">
        <f t="shared" si="15"/>
        <v>0</v>
      </c>
      <c r="K96" s="155">
        <f t="shared" si="13"/>
        <v>0</v>
      </c>
      <c r="L96" s="156">
        <f>K96</f>
        <v>0</v>
      </c>
    </row>
    <row r="97" spans="2:12" ht="15.75" thickBot="1" x14ac:dyDescent="0.3">
      <c r="B97" s="87" t="s">
        <v>17</v>
      </c>
      <c r="C97" s="88" t="s">
        <v>95</v>
      </c>
      <c r="D97" s="157" t="s">
        <v>95</v>
      </c>
      <c r="E97" s="95">
        <f>SUM(E88:E95)</f>
        <v>5350.333333333333</v>
      </c>
      <c r="F97" s="88" t="s">
        <v>95</v>
      </c>
      <c r="G97" s="158" t="s">
        <v>95</v>
      </c>
      <c r="H97" s="159" t="s">
        <v>95</v>
      </c>
      <c r="I97" s="95">
        <f>SUM(I88:I95)</f>
        <v>5677.333333333333</v>
      </c>
      <c r="J97" s="88" t="s">
        <v>95</v>
      </c>
      <c r="K97" s="158" t="s">
        <v>95</v>
      </c>
      <c r="L97" s="159" t="s">
        <v>95</v>
      </c>
    </row>
    <row r="100" spans="2:12" x14ac:dyDescent="0.25">
      <c r="C100" s="133" t="s">
        <v>112</v>
      </c>
      <c r="H100" s="133" t="s">
        <v>113</v>
      </c>
    </row>
    <row r="102" spans="2:12" x14ac:dyDescent="0.25">
      <c r="C102" s="113" t="str">
        <f>"ff{4,0}^{"&amp;launch.year&amp;","&amp;launch.year+1&amp;"} ="</f>
        <v>ff{4,0}^{2010,2011} =</v>
      </c>
      <c r="D102" s="133" t="str">
        <f>"BF{4}^"&amp;launch.year&amp;" / PF{4}^"&amp;launch.year</f>
        <v>BF{4}^2010 / PF{4}^2010</v>
      </c>
      <c r="H102" s="113" t="str">
        <f>"fm{4,0}^{"&amp;launch.year&amp;","&amp;launch.year+1&amp;"} ="</f>
        <v>fm{4,0}^{2010,2011} =</v>
      </c>
      <c r="I102" s="133" t="str">
        <f>"BM{4}^"&amp;launch.year&amp;" / PF{4}^"&amp;launch.year</f>
        <v>BM{4}^2010 / PF{4}^2010</v>
      </c>
    </row>
    <row r="103" spans="2:12" x14ac:dyDescent="0.25">
      <c r="C103" s="134" t="s">
        <v>108</v>
      </c>
      <c r="D103" s="133" t="str">
        <f>TEXT($E$89,"#,##0")&amp;" / "&amp;TEXT($D$89,"#,##0")</f>
        <v>452 / 21,906</v>
      </c>
      <c r="H103" s="134" t="s">
        <v>108</v>
      </c>
      <c r="I103" s="133" t="str">
        <f>TEXT($I$89,"#,##0")&amp;" / "&amp;TEXT($D$89,"#,##0")</f>
        <v>466 / 21,906</v>
      </c>
    </row>
    <row r="104" spans="2:12" x14ac:dyDescent="0.25">
      <c r="C104" s="134" t="s">
        <v>108</v>
      </c>
      <c r="D104" s="135">
        <f>$E$89/$D$89</f>
        <v>2.0633616360814389E-2</v>
      </c>
      <c r="H104" s="134" t="s">
        <v>108</v>
      </c>
      <c r="I104" s="135">
        <f>$I$89/$D$89</f>
        <v>2.128792720411455E-2</v>
      </c>
    </row>
    <row r="105" spans="2:12" x14ac:dyDescent="0.25">
      <c r="H105" s="113"/>
    </row>
    <row r="106" spans="2:12" x14ac:dyDescent="0.25">
      <c r="C106" s="113" t="str">
        <f>"ff{4,0}^{"&amp;launch.year&amp;","&amp;launch.year+5&amp;"} ="</f>
        <v>ff{4,0}^{2010,2015} =</v>
      </c>
      <c r="D106" s="133" t="str">
        <f>"ff{4,0}^{"&amp;launch.year&amp;","&amp;launch.year+1&amp;"} X 5"</f>
        <v>ff{4,0}^{2010,2011} X 5</v>
      </c>
      <c r="H106" s="113" t="str">
        <f>"fm{4,0}^{"&amp;launch.year&amp;","&amp;launch.year+5&amp;"} ="</f>
        <v>fm{4,0}^{2010,2015} =</v>
      </c>
      <c r="I106" s="133" t="str">
        <f>"fm{4,0}^{"&amp;launch.year&amp;","&amp;launch.year+1&amp;"} X 5"</f>
        <v>fm{4,0}^{2010,2011} X 5</v>
      </c>
    </row>
    <row r="107" spans="2:12" x14ac:dyDescent="0.25">
      <c r="C107" s="134" t="s">
        <v>108</v>
      </c>
      <c r="D107" s="133" t="str">
        <f>TEXT($F$89,"#0.###0")&amp;" X 5"</f>
        <v>0.0206 X 5</v>
      </c>
      <c r="H107" s="134" t="s">
        <v>108</v>
      </c>
      <c r="I107" s="133" t="str">
        <f>TEXT($J$89,"#0.###0")&amp;" X 5"</f>
        <v>0.0213 X 5</v>
      </c>
    </row>
    <row r="108" spans="2:12" x14ac:dyDescent="0.25">
      <c r="C108" s="134" t="s">
        <v>108</v>
      </c>
      <c r="D108" s="135">
        <f>$F$89*5</f>
        <v>0.10316808180407194</v>
      </c>
      <c r="H108" s="134" t="s">
        <v>108</v>
      </c>
      <c r="I108" s="135">
        <f>$J$89*5</f>
        <v>0.10643963602057274</v>
      </c>
    </row>
    <row r="109" spans="2:12" x14ac:dyDescent="0.25">
      <c r="H109" s="113"/>
    </row>
    <row r="110" spans="2:12" x14ac:dyDescent="0.25">
      <c r="C110" s="133" t="s">
        <v>114</v>
      </c>
      <c r="H110" s="133" t="s">
        <v>115</v>
      </c>
    </row>
    <row r="111" spans="2:12" x14ac:dyDescent="0.25">
      <c r="H111" s="113"/>
    </row>
    <row r="112" spans="2:12" x14ac:dyDescent="0.25">
      <c r="C112" s="113" t="str">
        <f>"ff{3,0}^{"&amp;launch.year&amp;","&amp;launch.year+5&amp;"} ="</f>
        <v>ff{3,0}^{2010,2015} =</v>
      </c>
      <c r="D112" s="133" t="str">
        <f>"[ ff{3,0}^{"&amp;launch.year&amp;","&amp;launch.year+5&amp;"} + ff{4,0}^{"&amp;launch.year&amp;","&amp;launch.year+5&amp;"} ] / 2"</f>
        <v>[ ff{3,0}^{2010,2015} + ff{4,0}^{2010,2015} ] / 2</v>
      </c>
      <c r="H112" s="113" t="str">
        <f>"fm{3,0}^{"&amp;launch.year&amp;","&amp;launch.year+5&amp;"} ="</f>
        <v>fm{3,0}^{2010,2015} =</v>
      </c>
      <c r="I112" s="133" t="str">
        <f>"[ fm{3,0}^{"&amp;launch.year&amp;","&amp;launch.year+5&amp;"} + fm{4,0}^{"&amp;launch.year&amp;","&amp;launch.year+5&amp;"} ] / 2"</f>
        <v>[ fm{3,0}^{2010,2015} + fm{4,0}^{2010,2015} ] / 2</v>
      </c>
    </row>
    <row r="113" spans="2:20" x14ac:dyDescent="0.25">
      <c r="C113" s="134" t="s">
        <v>108</v>
      </c>
      <c r="D113" s="133" t="str">
        <f>"("&amp;TEXT($G$88,"##0.0000")&amp;" + "&amp;TEXT($G$89,"#0.0000")&amp;") / 2"</f>
        <v>(0.0000 + 0.1032) / 2</v>
      </c>
      <c r="H113" s="134" t="s">
        <v>108</v>
      </c>
      <c r="I113" s="133" t="str">
        <f>"("&amp;TEXT($K$88,"##0.0000")&amp;" + "&amp;TEXT($K$89,"#0.0000")&amp;") / 2"</f>
        <v>(0.0019 + 0.1064) / 2</v>
      </c>
    </row>
    <row r="114" spans="2:20" x14ac:dyDescent="0.25">
      <c r="C114" s="134" t="s">
        <v>108</v>
      </c>
      <c r="D114" s="135">
        <f>($G$88+$G$89)/2</f>
        <v>5.16E-2</v>
      </c>
      <c r="H114" s="134" t="s">
        <v>108</v>
      </c>
      <c r="I114" s="135">
        <f>($K$88+$K$89)/2</f>
        <v>5.4149999999999997E-2</v>
      </c>
    </row>
    <row r="115" spans="2:20" x14ac:dyDescent="0.25">
      <c r="C115" s="134"/>
      <c r="D115" s="135"/>
      <c r="H115" s="134"/>
      <c r="I115" s="135"/>
    </row>
    <row r="117" spans="2:20" x14ac:dyDescent="0.25">
      <c r="B117" s="25" t="str">
        <f>"Estimating Female Births: "&amp;study.area&amp;", "&amp;launch.year&amp;" to "&amp;launch.year+5</f>
        <v>Estimating Female Births: DeKalb County, 2010 to 2015</v>
      </c>
      <c r="L117" s="25" t="str">
        <f>"Estimating Male Births: "&amp;study.area&amp;", "&amp;launch.year&amp;" to "&amp;launch.year+5</f>
        <v>Estimating Male Births: DeKalb County, 2010 to 2015</v>
      </c>
    </row>
    <row r="119" spans="2:20" ht="30" x14ac:dyDescent="0.25">
      <c r="B119" s="160" t="s">
        <v>6</v>
      </c>
      <c r="C119" s="160" t="s">
        <v>78</v>
      </c>
      <c r="D119" s="161" t="s">
        <v>8</v>
      </c>
      <c r="E119" s="161"/>
      <c r="F119" s="162"/>
      <c r="G119" s="163" t="s">
        <v>121</v>
      </c>
      <c r="H119" s="161"/>
      <c r="I119" s="162"/>
      <c r="J119" s="144" t="s">
        <v>116</v>
      </c>
      <c r="L119" s="160" t="s">
        <v>6</v>
      </c>
      <c r="M119" s="160" t="s">
        <v>78</v>
      </c>
      <c r="N119" s="161" t="s">
        <v>8</v>
      </c>
      <c r="O119" s="161"/>
      <c r="P119" s="162"/>
      <c r="Q119" s="163" t="s">
        <v>122</v>
      </c>
      <c r="R119" s="161"/>
      <c r="S119" s="162"/>
      <c r="T119" s="144" t="s">
        <v>120</v>
      </c>
    </row>
    <row r="120" spans="2:20" x14ac:dyDescent="0.25">
      <c r="B120" s="57" t="s">
        <v>31</v>
      </c>
      <c r="C120" s="57"/>
      <c r="D120" s="58" t="str">
        <f>"PFn^"&amp;launch.year-5</f>
        <v>PFn^2005</v>
      </c>
      <c r="E120" s="58" t="str">
        <f>"PFn^"&amp;launch.year</f>
        <v>PFn^2010</v>
      </c>
      <c r="F120" s="58" t="s">
        <v>117</v>
      </c>
      <c r="G120" s="58" t="str">
        <f>"ff{n}^{"&amp;launch.year-5&amp;","&amp;launch.year&amp;"}"</f>
        <v>ff{n}^{2005,2010}</v>
      </c>
      <c r="H120" s="58" t="str">
        <f>"ff{n}^{"&amp;launch.year&amp;","&amp;launch.year+5&amp;"}"</f>
        <v>ff{n}^{2010,2015}</v>
      </c>
      <c r="I120" s="58" t="s">
        <v>117</v>
      </c>
      <c r="J120" s="57" t="str">
        <f>"BF{n{}^{"&amp;launch.year-5&amp;"-"&amp;launch.year&amp;"}"</f>
        <v>BF{n{}^{2005-2010}</v>
      </c>
      <c r="L120" s="57" t="s">
        <v>31</v>
      </c>
      <c r="M120" s="57"/>
      <c r="N120" s="58" t="str">
        <f>"PFn^"&amp;launch.year-5</f>
        <v>PFn^2005</v>
      </c>
      <c r="O120" s="58" t="str">
        <f>"PFn^"&amp;launch.year</f>
        <v>PFn^2010</v>
      </c>
      <c r="P120" s="58" t="s">
        <v>117</v>
      </c>
      <c r="Q120" s="58" t="str">
        <f>"fm{n}^{"&amp;launch.year-5&amp;","&amp;launch.year&amp;"}"</f>
        <v>fm{n}^{2005,2010}</v>
      </c>
      <c r="R120" s="58" t="str">
        <f>"fm{n}^{"&amp;launch.year&amp;","&amp;launch.year+5&amp;"}"</f>
        <v>fm{n}^{2010,2015}</v>
      </c>
      <c r="S120" s="58" t="s">
        <v>117</v>
      </c>
      <c r="T120" s="57" t="str">
        <f>"BM{n{}^{"&amp;launch.year-5&amp;"-"&amp;launch.year&amp;"}"</f>
        <v>BM{n{}^{2005-2010}</v>
      </c>
    </row>
    <row r="121" spans="2:20" x14ac:dyDescent="0.25">
      <c r="B121" s="147" t="s">
        <v>9</v>
      </c>
      <c r="C121" s="63" t="s">
        <v>10</v>
      </c>
      <c r="D121" s="63" t="s">
        <v>11</v>
      </c>
      <c r="E121" s="63" t="s">
        <v>12</v>
      </c>
      <c r="F121" s="63" t="s">
        <v>13</v>
      </c>
      <c r="G121" s="63" t="s">
        <v>14</v>
      </c>
      <c r="H121" s="63" t="s">
        <v>15</v>
      </c>
      <c r="I121" s="147" t="s">
        <v>16</v>
      </c>
      <c r="J121" s="147" t="s">
        <v>18</v>
      </c>
      <c r="K121" s="164"/>
      <c r="L121" s="147" t="s">
        <v>9</v>
      </c>
      <c r="M121" s="63" t="s">
        <v>10</v>
      </c>
      <c r="N121" s="63" t="s">
        <v>11</v>
      </c>
      <c r="O121" s="63" t="s">
        <v>12</v>
      </c>
      <c r="P121" s="63" t="s">
        <v>13</v>
      </c>
      <c r="Q121" s="63" t="s">
        <v>14</v>
      </c>
      <c r="R121" s="63" t="s">
        <v>15</v>
      </c>
      <c r="S121" s="147" t="s">
        <v>16</v>
      </c>
      <c r="T121" s="147" t="s">
        <v>18</v>
      </c>
    </row>
    <row r="122" spans="2:20" x14ac:dyDescent="0.25">
      <c r="B122" s="165">
        <v>1</v>
      </c>
      <c r="C122" s="57" t="s">
        <v>118</v>
      </c>
      <c r="D122" s="165">
        <f>Input!H11</f>
        <v>23916</v>
      </c>
      <c r="E122" s="165">
        <f>Input!J11</f>
        <v>24551</v>
      </c>
      <c r="F122" s="165">
        <f t="shared" ref="F122:F139" si="16">ROUND(AVERAGE(D122:E122),0)</f>
        <v>24234</v>
      </c>
      <c r="G122" s="166" t="s">
        <v>95</v>
      </c>
      <c r="H122" s="166" t="s">
        <v>95</v>
      </c>
      <c r="I122" s="166" t="s">
        <v>95</v>
      </c>
      <c r="J122" s="166" t="s">
        <v>95</v>
      </c>
      <c r="K122" s="164"/>
      <c r="L122" s="165">
        <v>1</v>
      </c>
      <c r="M122" s="57" t="s">
        <v>118</v>
      </c>
      <c r="N122" s="165">
        <f>Input!H11</f>
        <v>23916</v>
      </c>
      <c r="O122" s="165">
        <f>Input!J11</f>
        <v>24551</v>
      </c>
      <c r="P122" s="165">
        <f t="shared" ref="P122:P139" si="17">ROUND(AVERAGE(N122:O122),0)</f>
        <v>24234</v>
      </c>
      <c r="Q122" s="166" t="s">
        <v>95</v>
      </c>
      <c r="R122" s="166" t="s">
        <v>95</v>
      </c>
      <c r="S122" s="166" t="s">
        <v>95</v>
      </c>
      <c r="T122" s="166" t="s">
        <v>95</v>
      </c>
    </row>
    <row r="123" spans="2:20" x14ac:dyDescent="0.25">
      <c r="B123" s="165">
        <v>2</v>
      </c>
      <c r="C123" s="57" t="s">
        <v>39</v>
      </c>
      <c r="D123" s="165">
        <f>Input!H12</f>
        <v>21499</v>
      </c>
      <c r="E123" s="165">
        <f>Input!J12</f>
        <v>22180</v>
      </c>
      <c r="F123" s="165">
        <f t="shared" si="16"/>
        <v>21840</v>
      </c>
      <c r="G123" s="166" t="s">
        <v>95</v>
      </c>
      <c r="H123" s="166" t="s">
        <v>95</v>
      </c>
      <c r="I123" s="166" t="s">
        <v>95</v>
      </c>
      <c r="J123" s="166" t="s">
        <v>95</v>
      </c>
      <c r="K123" s="164"/>
      <c r="L123" s="165">
        <v>2</v>
      </c>
      <c r="M123" s="57" t="s">
        <v>39</v>
      </c>
      <c r="N123" s="165">
        <f>Input!H12</f>
        <v>21499</v>
      </c>
      <c r="O123" s="165">
        <f>Input!J12</f>
        <v>22180</v>
      </c>
      <c r="P123" s="165">
        <f t="shared" si="17"/>
        <v>21840</v>
      </c>
      <c r="Q123" s="166" t="s">
        <v>95</v>
      </c>
      <c r="R123" s="166" t="s">
        <v>95</v>
      </c>
      <c r="S123" s="166" t="s">
        <v>95</v>
      </c>
      <c r="T123" s="166" t="s">
        <v>95</v>
      </c>
    </row>
    <row r="124" spans="2:20" x14ac:dyDescent="0.25">
      <c r="B124" s="165">
        <v>3</v>
      </c>
      <c r="C124" s="57" t="s">
        <v>40</v>
      </c>
      <c r="D124" s="165">
        <f>Input!H13</f>
        <v>22591</v>
      </c>
      <c r="E124" s="165">
        <f>Input!J13</f>
        <v>20882</v>
      </c>
      <c r="F124" s="165">
        <f t="shared" si="16"/>
        <v>21737</v>
      </c>
      <c r="G124" s="151">
        <f>H52</f>
        <v>5.985E-2</v>
      </c>
      <c r="H124" s="151">
        <f>H88</f>
        <v>5.16E-2</v>
      </c>
      <c r="I124" s="151">
        <f t="shared" ref="I124:I131" si="18">ROUND(AVERAGE(G124:H124),4)</f>
        <v>5.57E-2</v>
      </c>
      <c r="J124" s="165">
        <f t="shared" ref="J124:J131" si="19">ROUND(F124*I124,0)</f>
        <v>1211</v>
      </c>
      <c r="K124" s="37"/>
      <c r="L124" s="165">
        <v>3</v>
      </c>
      <c r="M124" s="57" t="s">
        <v>40</v>
      </c>
      <c r="N124" s="165">
        <f>Input!H13</f>
        <v>22591</v>
      </c>
      <c r="O124" s="165">
        <f>Input!J13</f>
        <v>20882</v>
      </c>
      <c r="P124" s="165">
        <f t="shared" si="17"/>
        <v>21737</v>
      </c>
      <c r="Q124" s="151">
        <f>L52</f>
        <v>6.1449999999999998E-2</v>
      </c>
      <c r="R124" s="151">
        <f>L88</f>
        <v>5.4149999999999997E-2</v>
      </c>
      <c r="S124" s="151">
        <f t="shared" ref="S124:S131" si="20">ROUND(AVERAGE(Q124:R124),4)</f>
        <v>5.7799999999999997E-2</v>
      </c>
      <c r="T124" s="165">
        <f t="shared" ref="T124:T131" si="21">ROUND(P124*S124,0)</f>
        <v>1256</v>
      </c>
    </row>
    <row r="125" spans="2:20" x14ac:dyDescent="0.25">
      <c r="B125" s="165">
        <v>4</v>
      </c>
      <c r="C125" s="57" t="s">
        <v>80</v>
      </c>
      <c r="D125" s="165">
        <f>Input!H14</f>
        <v>21972</v>
      </c>
      <c r="E125" s="165">
        <f>Input!J14</f>
        <v>21906</v>
      </c>
      <c r="F125" s="165">
        <f t="shared" si="16"/>
        <v>21939</v>
      </c>
      <c r="G125" s="151">
        <f t="shared" ref="G125:G131" si="22">H53</f>
        <v>0.1822</v>
      </c>
      <c r="H125" s="151">
        <f t="shared" ref="H125:H131" si="23">H89</f>
        <v>0.16005</v>
      </c>
      <c r="I125" s="151">
        <f t="shared" si="18"/>
        <v>0.1711</v>
      </c>
      <c r="J125" s="165">
        <f t="shared" si="19"/>
        <v>3754</v>
      </c>
      <c r="K125" s="37"/>
      <c r="L125" s="165">
        <v>4</v>
      </c>
      <c r="M125" s="57" t="s">
        <v>80</v>
      </c>
      <c r="N125" s="165">
        <f>Input!H14</f>
        <v>21972</v>
      </c>
      <c r="O125" s="165">
        <f>Input!J14</f>
        <v>21906</v>
      </c>
      <c r="P125" s="165">
        <f t="shared" si="17"/>
        <v>21939</v>
      </c>
      <c r="Q125" s="151">
        <f t="shared" ref="Q125:Q131" si="24">L53</f>
        <v>0.18984999999999999</v>
      </c>
      <c r="R125" s="151">
        <f t="shared" ref="R125:R131" si="25">L89</f>
        <v>0.1696</v>
      </c>
      <c r="S125" s="151">
        <f t="shared" si="20"/>
        <v>0.1797</v>
      </c>
      <c r="T125" s="165">
        <f t="shared" si="21"/>
        <v>3942</v>
      </c>
    </row>
    <row r="126" spans="2:20" x14ac:dyDescent="0.25">
      <c r="B126" s="165">
        <v>5</v>
      </c>
      <c r="C126" s="57" t="s">
        <v>81</v>
      </c>
      <c r="D126" s="165">
        <f>Input!H15</f>
        <v>25213</v>
      </c>
      <c r="E126" s="165">
        <f>Input!J15</f>
        <v>26144</v>
      </c>
      <c r="F126" s="165">
        <f t="shared" si="16"/>
        <v>25679</v>
      </c>
      <c r="G126" s="151">
        <f t="shared" si="22"/>
        <v>0.23785000000000001</v>
      </c>
      <c r="H126" s="151">
        <f t="shared" si="23"/>
        <v>0.21810000000000002</v>
      </c>
      <c r="I126" s="151">
        <f t="shared" si="18"/>
        <v>0.22800000000000001</v>
      </c>
      <c r="J126" s="165">
        <f t="shared" si="19"/>
        <v>5855</v>
      </c>
      <c r="K126" s="37"/>
      <c r="L126" s="165">
        <v>5</v>
      </c>
      <c r="M126" s="57" t="s">
        <v>81</v>
      </c>
      <c r="N126" s="165">
        <f>Input!H15</f>
        <v>25213</v>
      </c>
      <c r="O126" s="165">
        <f>Input!J15</f>
        <v>26144</v>
      </c>
      <c r="P126" s="165">
        <f t="shared" si="17"/>
        <v>25679</v>
      </c>
      <c r="Q126" s="151">
        <f t="shared" si="24"/>
        <v>0.24874999999999997</v>
      </c>
      <c r="R126" s="151">
        <f t="shared" si="25"/>
        <v>0.23199999999999998</v>
      </c>
      <c r="S126" s="151">
        <f t="shared" si="20"/>
        <v>0.2404</v>
      </c>
      <c r="T126" s="165">
        <f t="shared" si="21"/>
        <v>6173</v>
      </c>
    </row>
    <row r="127" spans="2:20" x14ac:dyDescent="0.25">
      <c r="B127" s="165">
        <v>6</v>
      </c>
      <c r="C127" s="57" t="s">
        <v>82</v>
      </c>
      <c r="D127" s="165">
        <f>Input!H16</f>
        <v>30435</v>
      </c>
      <c r="E127" s="165">
        <f>Input!J16</f>
        <v>31514</v>
      </c>
      <c r="F127" s="165">
        <f t="shared" si="16"/>
        <v>30975</v>
      </c>
      <c r="G127" s="151">
        <f t="shared" si="22"/>
        <v>0.22175</v>
      </c>
      <c r="H127" s="151">
        <f t="shared" si="23"/>
        <v>0.22970000000000002</v>
      </c>
      <c r="I127" s="151">
        <f t="shared" si="18"/>
        <v>0.22570000000000001</v>
      </c>
      <c r="J127" s="165">
        <f t="shared" si="19"/>
        <v>6991</v>
      </c>
      <c r="K127" s="37"/>
      <c r="L127" s="165">
        <v>6</v>
      </c>
      <c r="M127" s="57" t="s">
        <v>82</v>
      </c>
      <c r="N127" s="165">
        <f>Input!H16</f>
        <v>30435</v>
      </c>
      <c r="O127" s="165">
        <f>Input!J16</f>
        <v>31514</v>
      </c>
      <c r="P127" s="165">
        <f t="shared" si="17"/>
        <v>30975</v>
      </c>
      <c r="Q127" s="151">
        <f t="shared" si="24"/>
        <v>0.23654999999999998</v>
      </c>
      <c r="R127" s="151">
        <f t="shared" si="25"/>
        <v>0.24249999999999999</v>
      </c>
      <c r="S127" s="151">
        <f t="shared" si="20"/>
        <v>0.23949999999999999</v>
      </c>
      <c r="T127" s="165">
        <f t="shared" si="21"/>
        <v>7419</v>
      </c>
    </row>
    <row r="128" spans="2:20" x14ac:dyDescent="0.25">
      <c r="B128" s="165">
        <v>7</v>
      </c>
      <c r="C128" s="57" t="s">
        <v>83</v>
      </c>
      <c r="D128" s="165">
        <f>Input!H17</f>
        <v>30093</v>
      </c>
      <c r="E128" s="165">
        <f>Input!J17</f>
        <v>29579</v>
      </c>
      <c r="F128" s="165">
        <f t="shared" si="16"/>
        <v>29836</v>
      </c>
      <c r="G128" s="151">
        <f t="shared" si="22"/>
        <v>0.17444999999999999</v>
      </c>
      <c r="H128" s="151">
        <f t="shared" si="23"/>
        <v>0.18809999999999999</v>
      </c>
      <c r="I128" s="151">
        <f t="shared" si="18"/>
        <v>0.18129999999999999</v>
      </c>
      <c r="J128" s="165">
        <f t="shared" si="19"/>
        <v>5409</v>
      </c>
      <c r="K128" s="37"/>
      <c r="L128" s="165">
        <v>7</v>
      </c>
      <c r="M128" s="57" t="s">
        <v>83</v>
      </c>
      <c r="N128" s="165">
        <f>Input!H17</f>
        <v>30093</v>
      </c>
      <c r="O128" s="165">
        <f>Input!J17</f>
        <v>29579</v>
      </c>
      <c r="P128" s="165">
        <f t="shared" si="17"/>
        <v>29836</v>
      </c>
      <c r="Q128" s="151">
        <f t="shared" si="24"/>
        <v>0.1837</v>
      </c>
      <c r="R128" s="151">
        <f t="shared" si="25"/>
        <v>0.19985000000000003</v>
      </c>
      <c r="S128" s="151">
        <f t="shared" si="20"/>
        <v>0.1918</v>
      </c>
      <c r="T128" s="165">
        <f t="shared" si="21"/>
        <v>5723</v>
      </c>
    </row>
    <row r="129" spans="2:20" x14ac:dyDescent="0.25">
      <c r="B129" s="165">
        <v>8</v>
      </c>
      <c r="C129" s="57" t="s">
        <v>84</v>
      </c>
      <c r="D129" s="165">
        <f>Input!H18</f>
        <v>28848</v>
      </c>
      <c r="E129" s="165">
        <f>Input!J18</f>
        <v>28245</v>
      </c>
      <c r="F129" s="165">
        <f t="shared" si="16"/>
        <v>28547</v>
      </c>
      <c r="G129" s="151">
        <f t="shared" si="22"/>
        <v>8.1049999999999997E-2</v>
      </c>
      <c r="H129" s="151">
        <f t="shared" si="23"/>
        <v>8.5400000000000004E-2</v>
      </c>
      <c r="I129" s="151">
        <f t="shared" si="18"/>
        <v>8.3199999999999996E-2</v>
      </c>
      <c r="J129" s="165">
        <f t="shared" si="19"/>
        <v>2375</v>
      </c>
      <c r="K129" s="37"/>
      <c r="L129" s="165">
        <v>8</v>
      </c>
      <c r="M129" s="57" t="s">
        <v>84</v>
      </c>
      <c r="N129" s="165">
        <f>Input!H18</f>
        <v>28848</v>
      </c>
      <c r="O129" s="165">
        <f>Input!J18</f>
        <v>28245</v>
      </c>
      <c r="P129" s="165">
        <f t="shared" si="17"/>
        <v>28547</v>
      </c>
      <c r="Q129" s="151">
        <f t="shared" si="24"/>
        <v>8.1200000000000008E-2</v>
      </c>
      <c r="R129" s="151">
        <f t="shared" si="25"/>
        <v>9.0700000000000003E-2</v>
      </c>
      <c r="S129" s="151">
        <f t="shared" si="20"/>
        <v>8.5999999999999993E-2</v>
      </c>
      <c r="T129" s="165">
        <f t="shared" si="21"/>
        <v>2455</v>
      </c>
    </row>
    <row r="130" spans="2:20" x14ac:dyDescent="0.25">
      <c r="B130" s="165">
        <v>9</v>
      </c>
      <c r="C130" s="57" t="s">
        <v>85</v>
      </c>
      <c r="D130" s="165">
        <f>Input!H19</f>
        <v>28252</v>
      </c>
      <c r="E130" s="165">
        <f>Input!J19</f>
        <v>26511</v>
      </c>
      <c r="F130" s="165">
        <f t="shared" si="16"/>
        <v>27382</v>
      </c>
      <c r="G130" s="151">
        <f t="shared" si="22"/>
        <v>1.4700000000000001E-2</v>
      </c>
      <c r="H130" s="151">
        <f t="shared" si="23"/>
        <v>1.8200000000000001E-2</v>
      </c>
      <c r="I130" s="151">
        <f t="shared" si="18"/>
        <v>1.6500000000000001E-2</v>
      </c>
      <c r="J130" s="165">
        <f t="shared" si="19"/>
        <v>452</v>
      </c>
      <c r="K130" s="37"/>
      <c r="L130" s="165">
        <v>9</v>
      </c>
      <c r="M130" s="57" t="s">
        <v>85</v>
      </c>
      <c r="N130" s="165">
        <f>Input!H19</f>
        <v>28252</v>
      </c>
      <c r="O130" s="165">
        <f>Input!J19</f>
        <v>26511</v>
      </c>
      <c r="P130" s="165">
        <f t="shared" si="17"/>
        <v>27382</v>
      </c>
      <c r="Q130" s="151">
        <f t="shared" si="24"/>
        <v>1.525E-2</v>
      </c>
      <c r="R130" s="151">
        <f t="shared" si="25"/>
        <v>1.9149999999999997E-2</v>
      </c>
      <c r="S130" s="151">
        <f t="shared" si="20"/>
        <v>1.72E-2</v>
      </c>
      <c r="T130" s="165">
        <f t="shared" si="21"/>
        <v>471</v>
      </c>
    </row>
    <row r="131" spans="2:20" x14ac:dyDescent="0.25">
      <c r="B131" s="165">
        <v>10</v>
      </c>
      <c r="C131" s="57" t="s">
        <v>86</v>
      </c>
      <c r="D131" s="165">
        <f>Input!H20</f>
        <v>25830</v>
      </c>
      <c r="E131" s="165">
        <f>Input!J20</f>
        <v>26424</v>
      </c>
      <c r="F131" s="165">
        <f t="shared" si="16"/>
        <v>26127</v>
      </c>
      <c r="G131" s="151">
        <f t="shared" si="22"/>
        <v>1.8500000000000001E-3</v>
      </c>
      <c r="H131" s="151">
        <f t="shared" si="23"/>
        <v>8.4999999999999995E-4</v>
      </c>
      <c r="I131" s="151">
        <f t="shared" si="18"/>
        <v>1.4E-3</v>
      </c>
      <c r="J131" s="165">
        <f t="shared" si="19"/>
        <v>37</v>
      </c>
      <c r="K131" s="37"/>
      <c r="L131" s="165">
        <v>10</v>
      </c>
      <c r="M131" s="57" t="s">
        <v>86</v>
      </c>
      <c r="N131" s="165">
        <f>Input!H20</f>
        <v>25830</v>
      </c>
      <c r="O131" s="165">
        <f>Input!J20</f>
        <v>26424</v>
      </c>
      <c r="P131" s="165">
        <f t="shared" si="17"/>
        <v>26127</v>
      </c>
      <c r="Q131" s="151">
        <f t="shared" si="24"/>
        <v>1.5499999999999999E-3</v>
      </c>
      <c r="R131" s="151">
        <f t="shared" si="25"/>
        <v>1.4E-3</v>
      </c>
      <c r="S131" s="151">
        <f t="shared" si="20"/>
        <v>1.5E-3</v>
      </c>
      <c r="T131" s="165">
        <f t="shared" si="21"/>
        <v>39</v>
      </c>
    </row>
    <row r="132" spans="2:20" x14ac:dyDescent="0.25">
      <c r="B132" s="165">
        <v>11</v>
      </c>
      <c r="C132" s="57" t="s">
        <v>87</v>
      </c>
      <c r="D132" s="165">
        <f>Input!H21</f>
        <v>23625</v>
      </c>
      <c r="E132" s="165">
        <f>Input!J21</f>
        <v>24984</v>
      </c>
      <c r="F132" s="165">
        <f t="shared" si="16"/>
        <v>24305</v>
      </c>
      <c r="G132" s="166" t="s">
        <v>95</v>
      </c>
      <c r="H132" s="166" t="s">
        <v>95</v>
      </c>
      <c r="I132" s="166" t="s">
        <v>95</v>
      </c>
      <c r="J132" s="167" t="s">
        <v>95</v>
      </c>
      <c r="K132" s="168"/>
      <c r="L132" s="165">
        <v>11</v>
      </c>
      <c r="M132" s="57" t="s">
        <v>87</v>
      </c>
      <c r="N132" s="165">
        <f>Input!H21</f>
        <v>23625</v>
      </c>
      <c r="O132" s="165">
        <f>Input!J21</f>
        <v>24984</v>
      </c>
      <c r="P132" s="165">
        <f t="shared" si="17"/>
        <v>24305</v>
      </c>
      <c r="Q132" s="166" t="s">
        <v>95</v>
      </c>
      <c r="R132" s="166" t="s">
        <v>95</v>
      </c>
      <c r="S132" s="166" t="s">
        <v>95</v>
      </c>
      <c r="T132" s="167" t="s">
        <v>95</v>
      </c>
    </row>
    <row r="133" spans="2:20" x14ac:dyDescent="0.25">
      <c r="B133" s="165">
        <v>12</v>
      </c>
      <c r="C133" s="57" t="s">
        <v>88</v>
      </c>
      <c r="D133" s="165">
        <f>Input!H22</f>
        <v>19652</v>
      </c>
      <c r="E133" s="165">
        <f>Input!J22</f>
        <v>22198</v>
      </c>
      <c r="F133" s="165">
        <f t="shared" si="16"/>
        <v>20925</v>
      </c>
      <c r="G133" s="166" t="s">
        <v>95</v>
      </c>
      <c r="H133" s="166" t="s">
        <v>95</v>
      </c>
      <c r="I133" s="166" t="s">
        <v>95</v>
      </c>
      <c r="J133" s="167" t="s">
        <v>95</v>
      </c>
      <c r="K133" s="168"/>
      <c r="L133" s="165">
        <v>12</v>
      </c>
      <c r="M133" s="57" t="s">
        <v>88</v>
      </c>
      <c r="N133" s="165">
        <f>Input!H22</f>
        <v>19652</v>
      </c>
      <c r="O133" s="165">
        <f>Input!J22</f>
        <v>22198</v>
      </c>
      <c r="P133" s="165">
        <f t="shared" si="17"/>
        <v>20925</v>
      </c>
      <c r="Q133" s="166" t="s">
        <v>95</v>
      </c>
      <c r="R133" s="166" t="s">
        <v>95</v>
      </c>
      <c r="S133" s="166" t="s">
        <v>95</v>
      </c>
      <c r="T133" s="167" t="s">
        <v>95</v>
      </c>
    </row>
    <row r="134" spans="2:20" x14ac:dyDescent="0.25">
      <c r="B134" s="165">
        <v>13</v>
      </c>
      <c r="C134" s="57" t="s">
        <v>89</v>
      </c>
      <c r="D134" s="165">
        <f>Input!H23</f>
        <v>12875</v>
      </c>
      <c r="E134" s="165">
        <f>Input!J23</f>
        <v>18134</v>
      </c>
      <c r="F134" s="165">
        <f t="shared" si="16"/>
        <v>15505</v>
      </c>
      <c r="G134" s="166" t="s">
        <v>95</v>
      </c>
      <c r="H134" s="166" t="s">
        <v>95</v>
      </c>
      <c r="I134" s="166" t="s">
        <v>95</v>
      </c>
      <c r="J134" s="167" t="s">
        <v>95</v>
      </c>
      <c r="K134" s="168"/>
      <c r="L134" s="165">
        <v>13</v>
      </c>
      <c r="M134" s="57" t="s">
        <v>89</v>
      </c>
      <c r="N134" s="165">
        <f>Input!H23</f>
        <v>12875</v>
      </c>
      <c r="O134" s="165">
        <f>Input!J23</f>
        <v>18134</v>
      </c>
      <c r="P134" s="165">
        <f t="shared" si="17"/>
        <v>15505</v>
      </c>
      <c r="Q134" s="166" t="s">
        <v>95</v>
      </c>
      <c r="R134" s="166" t="s">
        <v>95</v>
      </c>
      <c r="S134" s="166" t="s">
        <v>95</v>
      </c>
      <c r="T134" s="167" t="s">
        <v>95</v>
      </c>
    </row>
    <row r="135" spans="2:20" x14ac:dyDescent="0.25">
      <c r="B135" s="165">
        <v>14</v>
      </c>
      <c r="C135" s="57" t="s">
        <v>90</v>
      </c>
      <c r="D135" s="165">
        <f>Input!H24</f>
        <v>9260</v>
      </c>
      <c r="E135" s="165">
        <f>Input!J24</f>
        <v>11793</v>
      </c>
      <c r="F135" s="165">
        <f t="shared" si="16"/>
        <v>10527</v>
      </c>
      <c r="G135" s="166" t="s">
        <v>95</v>
      </c>
      <c r="H135" s="166" t="s">
        <v>95</v>
      </c>
      <c r="I135" s="166" t="s">
        <v>95</v>
      </c>
      <c r="J135" s="167" t="s">
        <v>95</v>
      </c>
      <c r="K135" s="168"/>
      <c r="L135" s="165">
        <v>14</v>
      </c>
      <c r="M135" s="57" t="s">
        <v>90</v>
      </c>
      <c r="N135" s="165">
        <f>Input!H24</f>
        <v>9260</v>
      </c>
      <c r="O135" s="165">
        <f>Input!J24</f>
        <v>11793</v>
      </c>
      <c r="P135" s="165">
        <f t="shared" si="17"/>
        <v>10527</v>
      </c>
      <c r="Q135" s="166" t="s">
        <v>95</v>
      </c>
      <c r="R135" s="166" t="s">
        <v>95</v>
      </c>
      <c r="S135" s="166" t="s">
        <v>95</v>
      </c>
      <c r="T135" s="167" t="s">
        <v>95</v>
      </c>
    </row>
    <row r="136" spans="2:20" x14ac:dyDescent="0.25">
      <c r="B136" s="165">
        <v>15</v>
      </c>
      <c r="C136" s="57" t="s">
        <v>91</v>
      </c>
      <c r="D136" s="165">
        <f>Input!H25</f>
        <v>7676</v>
      </c>
      <c r="E136" s="165">
        <f>Input!J25</f>
        <v>8254</v>
      </c>
      <c r="F136" s="165">
        <f t="shared" si="16"/>
        <v>7965</v>
      </c>
      <c r="G136" s="166" t="s">
        <v>95</v>
      </c>
      <c r="H136" s="166" t="s">
        <v>95</v>
      </c>
      <c r="I136" s="166" t="s">
        <v>95</v>
      </c>
      <c r="J136" s="167" t="s">
        <v>95</v>
      </c>
      <c r="K136" s="168"/>
      <c r="L136" s="165">
        <v>15</v>
      </c>
      <c r="M136" s="57" t="s">
        <v>91</v>
      </c>
      <c r="N136" s="165">
        <f>Input!H25</f>
        <v>7676</v>
      </c>
      <c r="O136" s="165">
        <f>Input!J25</f>
        <v>8254</v>
      </c>
      <c r="P136" s="165">
        <f t="shared" si="17"/>
        <v>7965</v>
      </c>
      <c r="Q136" s="166" t="s">
        <v>95</v>
      </c>
      <c r="R136" s="166" t="s">
        <v>95</v>
      </c>
      <c r="S136" s="166" t="s">
        <v>95</v>
      </c>
      <c r="T136" s="167" t="s">
        <v>95</v>
      </c>
    </row>
    <row r="137" spans="2:20" x14ac:dyDescent="0.25">
      <c r="B137" s="165">
        <v>16</v>
      </c>
      <c r="C137" s="57" t="s">
        <v>92</v>
      </c>
      <c r="D137" s="165">
        <f>Input!H26</f>
        <v>6592</v>
      </c>
      <c r="E137" s="165">
        <f>Input!J26</f>
        <v>6552</v>
      </c>
      <c r="F137" s="165">
        <f t="shared" si="16"/>
        <v>6572</v>
      </c>
      <c r="G137" s="166" t="s">
        <v>95</v>
      </c>
      <c r="H137" s="166" t="s">
        <v>95</v>
      </c>
      <c r="I137" s="166" t="s">
        <v>95</v>
      </c>
      <c r="J137" s="167" t="s">
        <v>95</v>
      </c>
      <c r="K137" s="168"/>
      <c r="L137" s="165">
        <v>16</v>
      </c>
      <c r="M137" s="57" t="s">
        <v>92</v>
      </c>
      <c r="N137" s="165">
        <f>Input!H26</f>
        <v>6592</v>
      </c>
      <c r="O137" s="165">
        <f>Input!J26</f>
        <v>6552</v>
      </c>
      <c r="P137" s="165">
        <f t="shared" si="17"/>
        <v>6572</v>
      </c>
      <c r="Q137" s="166" t="s">
        <v>95</v>
      </c>
      <c r="R137" s="166" t="s">
        <v>95</v>
      </c>
      <c r="S137" s="166" t="s">
        <v>95</v>
      </c>
      <c r="T137" s="167" t="s">
        <v>95</v>
      </c>
    </row>
    <row r="138" spans="2:20" x14ac:dyDescent="0.25">
      <c r="B138" s="165">
        <v>17</v>
      </c>
      <c r="C138" s="57" t="s">
        <v>93</v>
      </c>
      <c r="D138" s="165">
        <f>Input!H27</f>
        <v>5303</v>
      </c>
      <c r="E138" s="165">
        <f>Input!J27</f>
        <v>5287</v>
      </c>
      <c r="F138" s="165">
        <f t="shared" si="16"/>
        <v>5295</v>
      </c>
      <c r="G138" s="166" t="s">
        <v>95</v>
      </c>
      <c r="H138" s="166" t="s">
        <v>95</v>
      </c>
      <c r="I138" s="166" t="s">
        <v>95</v>
      </c>
      <c r="J138" s="167" t="s">
        <v>95</v>
      </c>
      <c r="K138" s="168"/>
      <c r="L138" s="165">
        <v>17</v>
      </c>
      <c r="M138" s="57" t="s">
        <v>93</v>
      </c>
      <c r="N138" s="165">
        <f>Input!H27</f>
        <v>5303</v>
      </c>
      <c r="O138" s="165">
        <f>Input!J27</f>
        <v>5287</v>
      </c>
      <c r="P138" s="165">
        <f t="shared" si="17"/>
        <v>5295</v>
      </c>
      <c r="Q138" s="166" t="s">
        <v>95</v>
      </c>
      <c r="R138" s="166" t="s">
        <v>95</v>
      </c>
      <c r="S138" s="166" t="s">
        <v>95</v>
      </c>
      <c r="T138" s="167" t="s">
        <v>95</v>
      </c>
    </row>
    <row r="139" spans="2:20" x14ac:dyDescent="0.25">
      <c r="B139" s="165">
        <v>18</v>
      </c>
      <c r="C139" s="57" t="s">
        <v>119</v>
      </c>
      <c r="D139" s="165">
        <f>Input!H28</f>
        <v>4971</v>
      </c>
      <c r="E139" s="165">
        <f>Input!J28</f>
        <v>5400</v>
      </c>
      <c r="F139" s="165">
        <f t="shared" si="16"/>
        <v>5186</v>
      </c>
      <c r="G139" s="166" t="s">
        <v>95</v>
      </c>
      <c r="H139" s="166" t="s">
        <v>95</v>
      </c>
      <c r="I139" s="166" t="s">
        <v>95</v>
      </c>
      <c r="J139" s="167" t="s">
        <v>95</v>
      </c>
      <c r="K139" s="168"/>
      <c r="L139" s="165">
        <v>18</v>
      </c>
      <c r="M139" s="57" t="s">
        <v>119</v>
      </c>
      <c r="N139" s="165">
        <f>Input!H28</f>
        <v>4971</v>
      </c>
      <c r="O139" s="165">
        <f>Input!J28</f>
        <v>5400</v>
      </c>
      <c r="P139" s="165">
        <f t="shared" si="17"/>
        <v>5186</v>
      </c>
      <c r="Q139" s="166" t="s">
        <v>95</v>
      </c>
      <c r="R139" s="166" t="s">
        <v>95</v>
      </c>
      <c r="S139" s="166" t="s">
        <v>95</v>
      </c>
      <c r="T139" s="167" t="s">
        <v>95</v>
      </c>
    </row>
    <row r="140" spans="2:20" x14ac:dyDescent="0.25">
      <c r="B140" s="169" t="s">
        <v>95</v>
      </c>
      <c r="C140" s="170" t="s">
        <v>17</v>
      </c>
      <c r="D140" s="169">
        <f>SUM(D122:D139)</f>
        <v>348603</v>
      </c>
      <c r="E140" s="169">
        <f>SUM(E122:E139)</f>
        <v>360538</v>
      </c>
      <c r="F140" s="169">
        <f>SUM(F122:F139)</f>
        <v>354576</v>
      </c>
      <c r="G140" s="72" t="s">
        <v>95</v>
      </c>
      <c r="H140" s="72" t="s">
        <v>95</v>
      </c>
      <c r="I140" s="72" t="s">
        <v>95</v>
      </c>
      <c r="J140" s="169">
        <f>SUM(J122:J139)</f>
        <v>26084</v>
      </c>
      <c r="K140" s="37"/>
      <c r="L140" s="169" t="s">
        <v>95</v>
      </c>
      <c r="M140" s="170" t="s">
        <v>17</v>
      </c>
      <c r="N140" s="169">
        <f>SUM(N122:N139)</f>
        <v>348603</v>
      </c>
      <c r="O140" s="169">
        <f>SUM(O122:O139)</f>
        <v>360538</v>
      </c>
      <c r="P140" s="169">
        <f>SUM(P122:P139)</f>
        <v>354576</v>
      </c>
      <c r="Q140" s="72" t="s">
        <v>95</v>
      </c>
      <c r="R140" s="72" t="s">
        <v>95</v>
      </c>
      <c r="S140" s="72" t="s">
        <v>95</v>
      </c>
      <c r="T140" s="169">
        <f>SUM(T122:T139)</f>
        <v>27478</v>
      </c>
    </row>
    <row r="143" spans="2:20" x14ac:dyDescent="0.25">
      <c r="C143" s="66" t="s">
        <v>123</v>
      </c>
    </row>
    <row r="144" spans="2:20" x14ac:dyDescent="0.25">
      <c r="K144" s="66" t="s">
        <v>125</v>
      </c>
    </row>
    <row r="145" spans="2:16" x14ac:dyDescent="0.25">
      <c r="C145" s="113" t="str">
        <f>"BF{3}^{"&amp;launch.year-5&amp;","&amp;launch.year&amp;"} = "</f>
        <v xml:space="preserve">BF{3}^{2005,2010} = </v>
      </c>
      <c r="D145" s="25" t="str">
        <f>"[ ( PF{3}^"&amp;launch.year-5&amp;" + PF{4}^"&amp;launch.year&amp;" ) / 2 ]  X[ ( ff{3}^{"&amp;launch.year-5&amp;","&amp;launch.year&amp;"} + ff{3}^{"&amp;launch.year&amp;","&amp;launch.year+5&amp;"} ) / 2 ]"</f>
        <v>[ ( PF{3}^2005 + PF{4}^2010 ) / 2 ]  X[ ( ff{3}^{2005,2010} + ff{3}^{2010,2015} ) / 2 ]</v>
      </c>
    </row>
    <row r="146" spans="2:16" x14ac:dyDescent="0.25">
      <c r="C146" s="134" t="s">
        <v>124</v>
      </c>
      <c r="D146" s="25" t="str">
        <f>"[ ( "&amp;(TEXT($D$124,"#,###")&amp;" + "&amp;TEXT($E$124,"#,###")&amp;")  / 2 ] X [ ( "&amp;TEXT($G$124,"#0.###0")&amp;" +  "&amp;TEXT($H$124,"#0.###0")&amp;" ) / 2 ] ")</f>
        <v xml:space="preserve">[ ( 22,591 + 20,882)  / 2 ] X [ ( 0.0599 +  0.0516 ) / 2 ] </v>
      </c>
      <c r="K146" s="113" t="str">
        <f>"BM{3}^{"&amp;launch.year-5&amp;","&amp;launch.year&amp;"} = "</f>
        <v xml:space="preserve">BM{3}^{2005,2010} = </v>
      </c>
      <c r="L146" s="133" t="str">
        <f>"[ ( PF{3}^"&amp;launch.year-5&amp;" + PF{4}^"&amp;launch.year&amp;" ) / 2 ]  X [ ( fm{3}^{"&amp;launch.year&amp;","&amp;launch.year+5&amp;"} + fm{3}^{"&amp;launch.year-5&amp;","&amp;launch.year&amp;"} ) / 2 ]"</f>
        <v>[ ( PF{3}^2005 + PF{4}^2010 ) / 2 ]  X [ ( fm{3}^{2010,2015} + fm{3}^{2005,2010} ) / 2 ]</v>
      </c>
    </row>
    <row r="147" spans="2:16" x14ac:dyDescent="0.25">
      <c r="C147" s="134" t="s">
        <v>124</v>
      </c>
      <c r="D147" s="171">
        <f>(($D$124+$E$124)/2)*(($G$124+$H$124)/2)</f>
        <v>1211.2664625</v>
      </c>
      <c r="K147" s="134" t="s">
        <v>124</v>
      </c>
      <c r="L147" s="133" t="str">
        <f>"[ ( "&amp;(TEXT($N$124,"#,###")&amp;" + "&amp;TEXT($O$124,"#,###")&amp;")  / 2 ] X [ ( "&amp;TEXT($Q$124,"#0.###0")&amp;" +  "&amp;TEXT($R$124,"#0.###0")&amp;" ) / 2 ] ")</f>
        <v xml:space="preserve">[ ( 22,591 + 20,882)  / 2 ] X [ ( 0.0615 +  0.0542 ) / 2 ] </v>
      </c>
    </row>
    <row r="148" spans="2:16" x14ac:dyDescent="0.25">
      <c r="K148" s="134" t="s">
        <v>124</v>
      </c>
      <c r="L148" s="171">
        <f>(($N$124+$O$124)/2)*(($Q$124+$R$124)/2)</f>
        <v>1256.3697</v>
      </c>
    </row>
    <row r="150" spans="2:16" x14ac:dyDescent="0.25">
      <c r="B150" s="25" t="str">
        <f>"Estimating Female Net Migration: "&amp;study.area&amp;", "&amp;launch.year-5&amp;"-"&amp;launch.year</f>
        <v>Estimating Female Net Migration: DeKalb County, 2005-2010</v>
      </c>
      <c r="C150" s="74"/>
      <c r="D150" s="100"/>
      <c r="E150" s="100"/>
      <c r="F150" s="100"/>
      <c r="G150" s="100"/>
      <c r="H150" s="100"/>
    </row>
    <row r="151" spans="2:16" x14ac:dyDescent="0.25">
      <c r="J151" s="25" t="str">
        <f>"Estimating Male Net Migration: "&amp;study.area&amp;", "&amp;launch.year-5&amp;"-"&amp;launch.year</f>
        <v>Estimating Male Net Migration: DeKalb County, 2005-2010</v>
      </c>
      <c r="K151" s="74"/>
      <c r="L151" s="100"/>
      <c r="M151" s="100"/>
      <c r="N151" s="100"/>
      <c r="O151" s="100"/>
      <c r="P151" s="100"/>
    </row>
    <row r="152" spans="2:16" ht="39.75" customHeight="1" x14ac:dyDescent="0.25">
      <c r="B152" s="172" t="s">
        <v>6</v>
      </c>
      <c r="C152" s="172" t="s">
        <v>78</v>
      </c>
      <c r="D152" s="172" t="s">
        <v>126</v>
      </c>
      <c r="E152" s="172" t="s">
        <v>127</v>
      </c>
      <c r="F152" s="172" t="s">
        <v>128</v>
      </c>
      <c r="G152" s="172" t="s">
        <v>129</v>
      </c>
      <c r="H152" s="172" t="s">
        <v>130</v>
      </c>
    </row>
    <row r="153" spans="2:16" ht="30" x14ac:dyDescent="0.25">
      <c r="B153" s="57" t="s">
        <v>31</v>
      </c>
      <c r="C153" s="57"/>
      <c r="D153" s="57" t="str">
        <f>"PF{n}^"&amp;launch.year-5</f>
        <v>PF{n}^2005</v>
      </c>
      <c r="E153" s="57" t="str">
        <f>"s{n,n+1}^{"&amp;launch.year-5&amp;"-"&amp;launch.year&amp;"}"</f>
        <v>s{n,n+1}^{2005-2010}</v>
      </c>
      <c r="F153" s="57" t="str">
        <f>"PEF{n}^"&amp;launch.year</f>
        <v>PEF{n}^2010</v>
      </c>
      <c r="G153" s="57" t="str">
        <f>"PF{n}^"&amp;launch.year</f>
        <v>PF{n}^2010</v>
      </c>
      <c r="H153" s="57" t="str">
        <f>"NMF{n}^{"&amp;launch.year-5&amp;"-"&amp;launch.year&amp;"}"</f>
        <v>NMF{n}^{2005-2010}</v>
      </c>
      <c r="J153" s="172" t="s">
        <v>6</v>
      </c>
      <c r="K153" s="172" t="s">
        <v>78</v>
      </c>
      <c r="L153" s="172" t="s">
        <v>131</v>
      </c>
      <c r="M153" s="172" t="s">
        <v>127</v>
      </c>
      <c r="N153" s="172" t="s">
        <v>132</v>
      </c>
      <c r="O153" s="172" t="s">
        <v>133</v>
      </c>
      <c r="P153" s="172" t="s">
        <v>134</v>
      </c>
    </row>
    <row r="154" spans="2:16" x14ac:dyDescent="0.25">
      <c r="B154" s="147" t="s">
        <v>9</v>
      </c>
      <c r="C154" s="147" t="s">
        <v>10</v>
      </c>
      <c r="D154" s="147" t="s">
        <v>11</v>
      </c>
      <c r="E154" s="147" t="s">
        <v>12</v>
      </c>
      <c r="F154" s="147" t="s">
        <v>13</v>
      </c>
      <c r="G154" s="147" t="s">
        <v>14</v>
      </c>
      <c r="H154" s="147" t="s">
        <v>15</v>
      </c>
      <c r="J154" s="173" t="s">
        <v>31</v>
      </c>
      <c r="K154" s="57"/>
      <c r="L154" s="57" t="str">
        <f>"PM{n}^"&amp;launch.year-5</f>
        <v>PM{n}^2005</v>
      </c>
      <c r="M154" s="57" t="str">
        <f>"s{n,n+1}^{"&amp;launch.year-5&amp;"-"&amp;launch.year&amp;"}"</f>
        <v>s{n,n+1}^{2005-2010}</v>
      </c>
      <c r="N154" s="57" t="str">
        <f>"PEM{n}^"&amp;launch.year</f>
        <v>PEM{n}^2010</v>
      </c>
      <c r="O154" s="57" t="str">
        <f>"PM{n}^"&amp;launch.year</f>
        <v>PM{n}^2010</v>
      </c>
      <c r="P154" s="57" t="str">
        <f>"NMM{n}^{"&amp;launch.year-5&amp;"-"&amp;launch.year&amp;"}"</f>
        <v>NMM{n}^{2005-2010}</v>
      </c>
    </row>
    <row r="155" spans="2:16" x14ac:dyDescent="0.25">
      <c r="B155" s="166">
        <v>0</v>
      </c>
      <c r="C155" s="166" t="s">
        <v>79</v>
      </c>
      <c r="D155" s="167">
        <f>J140</f>
        <v>26084</v>
      </c>
      <c r="E155" s="151">
        <f>F8</f>
        <v>0.99412500000000004</v>
      </c>
      <c r="F155" s="166" t="s">
        <v>95</v>
      </c>
      <c r="G155" s="166" t="s">
        <v>95</v>
      </c>
      <c r="H155" s="166" t="s">
        <v>95</v>
      </c>
      <c r="J155" s="147" t="s">
        <v>9</v>
      </c>
      <c r="K155" s="147" t="s">
        <v>10</v>
      </c>
      <c r="L155" s="147" t="s">
        <v>11</v>
      </c>
      <c r="M155" s="147" t="s">
        <v>12</v>
      </c>
      <c r="N155" s="147" t="s">
        <v>13</v>
      </c>
      <c r="O155" s="147" t="s">
        <v>14</v>
      </c>
      <c r="P155" s="147" t="s">
        <v>15</v>
      </c>
    </row>
    <row r="156" spans="2:16" x14ac:dyDescent="0.25">
      <c r="B156" s="57">
        <v>1</v>
      </c>
      <c r="C156" s="57" t="s">
        <v>118</v>
      </c>
      <c r="D156" s="165">
        <f>Input!H11</f>
        <v>23916</v>
      </c>
      <c r="E156" s="151">
        <f t="shared" ref="E156:E173" si="26">F9</f>
        <v>0.99911178171759085</v>
      </c>
      <c r="F156" s="165">
        <f t="shared" ref="F156:F172" si="27">ROUND(D155*E155,0)</f>
        <v>25931</v>
      </c>
      <c r="G156" s="165">
        <f>Input!J11</f>
        <v>24551</v>
      </c>
      <c r="H156" s="165">
        <f t="shared" ref="H156:H173" si="28">G156-F156</f>
        <v>-1380</v>
      </c>
      <c r="J156" s="166">
        <v>0</v>
      </c>
      <c r="K156" s="166" t="s">
        <v>79</v>
      </c>
      <c r="L156" s="167">
        <f>T140</f>
        <v>27478</v>
      </c>
      <c r="M156" s="151">
        <f t="shared" ref="M156:M174" si="29">I8</f>
        <v>0.99294199999999999</v>
      </c>
      <c r="N156" s="166" t="s">
        <v>95</v>
      </c>
      <c r="O156" s="166" t="s">
        <v>95</v>
      </c>
      <c r="P156" s="166" t="s">
        <v>95</v>
      </c>
    </row>
    <row r="157" spans="2:16" x14ac:dyDescent="0.25">
      <c r="B157" s="57">
        <v>2</v>
      </c>
      <c r="C157" s="57" t="s">
        <v>39</v>
      </c>
      <c r="D157" s="165">
        <f>Input!H12</f>
        <v>21499</v>
      </c>
      <c r="E157" s="151">
        <f t="shared" si="26"/>
        <v>0.99950867965712287</v>
      </c>
      <c r="F157" s="165">
        <f t="shared" si="27"/>
        <v>23895</v>
      </c>
      <c r="G157" s="165">
        <f>Input!J12</f>
        <v>22180</v>
      </c>
      <c r="H157" s="165">
        <f t="shared" si="28"/>
        <v>-1715</v>
      </c>
      <c r="J157" s="57">
        <v>1</v>
      </c>
      <c r="K157" s="57" t="s">
        <v>118</v>
      </c>
      <c r="L157" s="165">
        <f>Input!G11</f>
        <v>25497</v>
      </c>
      <c r="M157" s="151">
        <f t="shared" si="29"/>
        <v>0.99883981138878197</v>
      </c>
      <c r="N157" s="165">
        <f t="shared" ref="N157:N173" si="30">ROUND(L156*M156,0)</f>
        <v>27284</v>
      </c>
      <c r="O157" s="165">
        <f>Input!I11</f>
        <v>25856</v>
      </c>
      <c r="P157" s="165">
        <f t="shared" ref="P157:P174" si="31">O157-N157</f>
        <v>-1428</v>
      </c>
    </row>
    <row r="158" spans="2:16" x14ac:dyDescent="0.25">
      <c r="B158" s="57">
        <v>3</v>
      </c>
      <c r="C158" s="57" t="s">
        <v>40</v>
      </c>
      <c r="D158" s="165">
        <f>Input!H13</f>
        <v>22591</v>
      </c>
      <c r="E158" s="151">
        <f t="shared" si="26"/>
        <v>0.99902392737777934</v>
      </c>
      <c r="F158" s="165">
        <f t="shared" si="27"/>
        <v>21488</v>
      </c>
      <c r="G158" s="165">
        <f>Input!J13</f>
        <v>20882</v>
      </c>
      <c r="H158" s="165">
        <f t="shared" si="28"/>
        <v>-606</v>
      </c>
      <c r="J158" s="57">
        <v>2</v>
      </c>
      <c r="K158" s="57" t="s">
        <v>39</v>
      </c>
      <c r="L158" s="165">
        <f>Input!G12</f>
        <v>22333</v>
      </c>
      <c r="M158" s="151">
        <f t="shared" si="29"/>
        <v>0.99944343056493812</v>
      </c>
      <c r="N158" s="165">
        <f t="shared" si="30"/>
        <v>25467</v>
      </c>
      <c r="O158" s="165">
        <f>Input!I12</f>
        <v>23110</v>
      </c>
      <c r="P158" s="165">
        <f t="shared" si="31"/>
        <v>-2357</v>
      </c>
    </row>
    <row r="159" spans="2:16" x14ac:dyDescent="0.25">
      <c r="B159" s="57">
        <v>4</v>
      </c>
      <c r="C159" s="57" t="s">
        <v>80</v>
      </c>
      <c r="D159" s="165">
        <f>Input!H14</f>
        <v>21972</v>
      </c>
      <c r="E159" s="151">
        <f t="shared" si="26"/>
        <v>0.99816290829161558</v>
      </c>
      <c r="F159" s="165">
        <f t="shared" si="27"/>
        <v>22569</v>
      </c>
      <c r="G159" s="165">
        <f>Input!J14</f>
        <v>21906</v>
      </c>
      <c r="H159" s="165">
        <f t="shared" si="28"/>
        <v>-663</v>
      </c>
      <c r="J159" s="57">
        <v>3</v>
      </c>
      <c r="K159" s="57" t="s">
        <v>40</v>
      </c>
      <c r="L159" s="165">
        <f>Input!G13</f>
        <v>23563</v>
      </c>
      <c r="M159" s="151">
        <f t="shared" si="29"/>
        <v>0.99798030341855337</v>
      </c>
      <c r="N159" s="165">
        <f t="shared" si="30"/>
        <v>22321</v>
      </c>
      <c r="O159" s="165">
        <f>Input!I13</f>
        <v>21915</v>
      </c>
      <c r="P159" s="165">
        <f t="shared" si="31"/>
        <v>-406</v>
      </c>
    </row>
    <row r="160" spans="2:16" x14ac:dyDescent="0.25">
      <c r="B160" s="57">
        <v>5</v>
      </c>
      <c r="C160" s="57" t="s">
        <v>81</v>
      </c>
      <c r="D160" s="165">
        <f>Input!H15</f>
        <v>25213</v>
      </c>
      <c r="E160" s="151">
        <f t="shared" si="26"/>
        <v>0.99747869364814645</v>
      </c>
      <c r="F160" s="165">
        <f t="shared" si="27"/>
        <v>21932</v>
      </c>
      <c r="G160" s="165">
        <f>Input!J15</f>
        <v>26144</v>
      </c>
      <c r="H160" s="165">
        <f t="shared" si="28"/>
        <v>4212</v>
      </c>
      <c r="J160" s="57">
        <v>4</v>
      </c>
      <c r="K160" s="57" t="s">
        <v>80</v>
      </c>
      <c r="L160" s="165">
        <f>Input!G14</f>
        <v>22534</v>
      </c>
      <c r="M160" s="151">
        <f t="shared" si="29"/>
        <v>0.99500321460197572</v>
      </c>
      <c r="N160" s="165">
        <f t="shared" si="30"/>
        <v>23515</v>
      </c>
      <c r="O160" s="165">
        <f>Input!I14</f>
        <v>22737</v>
      </c>
      <c r="P160" s="165">
        <f t="shared" si="31"/>
        <v>-778</v>
      </c>
    </row>
    <row r="161" spans="2:16" x14ac:dyDescent="0.25">
      <c r="B161" s="57">
        <v>6</v>
      </c>
      <c r="C161" s="57" t="s">
        <v>82</v>
      </c>
      <c r="D161" s="165">
        <f>Input!H16</f>
        <v>30435</v>
      </c>
      <c r="E161" s="151">
        <f t="shared" si="26"/>
        <v>0.99683837535836639</v>
      </c>
      <c r="F161" s="165">
        <f t="shared" si="27"/>
        <v>25149</v>
      </c>
      <c r="G161" s="165">
        <f>Input!J16</f>
        <v>31514</v>
      </c>
      <c r="H161" s="165">
        <f t="shared" si="28"/>
        <v>6365</v>
      </c>
      <c r="J161" s="57">
        <v>5</v>
      </c>
      <c r="K161" s="57" t="s">
        <v>81</v>
      </c>
      <c r="L161" s="165">
        <f>Input!G15</f>
        <v>24341</v>
      </c>
      <c r="M161" s="151">
        <f t="shared" si="29"/>
        <v>0.99334649337138436</v>
      </c>
      <c r="N161" s="165">
        <f t="shared" si="30"/>
        <v>22421</v>
      </c>
      <c r="O161" s="165">
        <f>Input!I15</f>
        <v>25555</v>
      </c>
      <c r="P161" s="165">
        <f t="shared" si="31"/>
        <v>3134</v>
      </c>
    </row>
    <row r="162" spans="2:16" x14ac:dyDescent="0.25">
      <c r="B162" s="57">
        <v>7</v>
      </c>
      <c r="C162" s="57" t="s">
        <v>83</v>
      </c>
      <c r="D162" s="165">
        <f>Input!H17</f>
        <v>30093</v>
      </c>
      <c r="E162" s="151">
        <f t="shared" si="26"/>
        <v>0.99569053533060059</v>
      </c>
      <c r="F162" s="165">
        <f t="shared" si="27"/>
        <v>30339</v>
      </c>
      <c r="G162" s="165">
        <f>Input!J17</f>
        <v>29579</v>
      </c>
      <c r="H162" s="165">
        <f t="shared" si="28"/>
        <v>-760</v>
      </c>
      <c r="J162" s="57">
        <v>6</v>
      </c>
      <c r="K162" s="57" t="s">
        <v>82</v>
      </c>
      <c r="L162" s="165">
        <f>Input!G16</f>
        <v>28345</v>
      </c>
      <c r="M162" s="151">
        <f t="shared" si="29"/>
        <v>0.9929864054394606</v>
      </c>
      <c r="N162" s="165">
        <f t="shared" si="30"/>
        <v>24179</v>
      </c>
      <c r="O162" s="165">
        <f>Input!I16</f>
        <v>29422</v>
      </c>
      <c r="P162" s="165">
        <f t="shared" si="31"/>
        <v>5243</v>
      </c>
    </row>
    <row r="163" spans="2:16" x14ac:dyDescent="0.25">
      <c r="B163" s="57">
        <v>8</v>
      </c>
      <c r="C163" s="57" t="s">
        <v>84</v>
      </c>
      <c r="D163" s="165">
        <f>Input!H18</f>
        <v>28848</v>
      </c>
      <c r="E163" s="151">
        <f t="shared" si="26"/>
        <v>0.99376596133263539</v>
      </c>
      <c r="F163" s="165">
        <f t="shared" si="27"/>
        <v>29963</v>
      </c>
      <c r="G163" s="165">
        <f>Input!J18</f>
        <v>28245</v>
      </c>
      <c r="H163" s="165">
        <f t="shared" si="28"/>
        <v>-1718</v>
      </c>
      <c r="J163" s="57">
        <v>7</v>
      </c>
      <c r="K163" s="57" t="s">
        <v>83</v>
      </c>
      <c r="L163" s="165">
        <f>Input!G17</f>
        <v>28891</v>
      </c>
      <c r="M163" s="151">
        <f t="shared" si="29"/>
        <v>0.9920654989022919</v>
      </c>
      <c r="N163" s="165">
        <f t="shared" si="30"/>
        <v>28146</v>
      </c>
      <c r="O163" s="165">
        <f>Input!I17</f>
        <v>28134</v>
      </c>
      <c r="P163" s="165">
        <f t="shared" si="31"/>
        <v>-12</v>
      </c>
    </row>
    <row r="164" spans="2:16" x14ac:dyDescent="0.25">
      <c r="B164" s="57">
        <v>9</v>
      </c>
      <c r="C164" s="57" t="s">
        <v>85</v>
      </c>
      <c r="D164" s="165">
        <f>Input!H19</f>
        <v>28252</v>
      </c>
      <c r="E164" s="151">
        <f t="shared" si="26"/>
        <v>0.9901344260174354</v>
      </c>
      <c r="F164" s="165">
        <f t="shared" si="27"/>
        <v>28668</v>
      </c>
      <c r="G164" s="165">
        <f>Input!J19</f>
        <v>26511</v>
      </c>
      <c r="H164" s="165">
        <f t="shared" si="28"/>
        <v>-2157</v>
      </c>
      <c r="J164" s="57">
        <v>8</v>
      </c>
      <c r="K164" s="57" t="s">
        <v>84</v>
      </c>
      <c r="L164" s="165">
        <f>Input!G18</f>
        <v>28237</v>
      </c>
      <c r="M164" s="151">
        <f t="shared" si="29"/>
        <v>0.98976778036987778</v>
      </c>
      <c r="N164" s="165">
        <f t="shared" si="30"/>
        <v>28662</v>
      </c>
      <c r="O164" s="165">
        <f>Input!I18</f>
        <v>27346</v>
      </c>
      <c r="P164" s="165">
        <f t="shared" si="31"/>
        <v>-1316</v>
      </c>
    </row>
    <row r="165" spans="2:16" x14ac:dyDescent="0.25">
      <c r="B165" s="57">
        <v>10</v>
      </c>
      <c r="C165" s="57" t="s">
        <v>86</v>
      </c>
      <c r="D165" s="165">
        <f>Input!H20</f>
        <v>25830</v>
      </c>
      <c r="E165" s="151">
        <f t="shared" si="26"/>
        <v>0.98461971579785645</v>
      </c>
      <c r="F165" s="165">
        <f t="shared" si="27"/>
        <v>27973</v>
      </c>
      <c r="G165" s="165">
        <f>Input!J20</f>
        <v>26424</v>
      </c>
      <c r="H165" s="165">
        <f t="shared" si="28"/>
        <v>-1549</v>
      </c>
      <c r="J165" s="57">
        <v>9</v>
      </c>
      <c r="K165" s="57" t="s">
        <v>85</v>
      </c>
      <c r="L165" s="165">
        <f>Input!G19</f>
        <v>26191</v>
      </c>
      <c r="M165" s="151">
        <f t="shared" si="29"/>
        <v>0.98419116200885848</v>
      </c>
      <c r="N165" s="165">
        <f t="shared" si="30"/>
        <v>27948</v>
      </c>
      <c r="O165" s="165">
        <f>Input!I19</f>
        <v>25043</v>
      </c>
      <c r="P165" s="165">
        <f t="shared" si="31"/>
        <v>-2905</v>
      </c>
    </row>
    <row r="166" spans="2:16" x14ac:dyDescent="0.25">
      <c r="B166" s="57">
        <v>11</v>
      </c>
      <c r="C166" s="57" t="s">
        <v>87</v>
      </c>
      <c r="D166" s="165">
        <f>Input!H21</f>
        <v>23625</v>
      </c>
      <c r="E166" s="151">
        <f t="shared" si="26"/>
        <v>0.9779764446688779</v>
      </c>
      <c r="F166" s="165">
        <f t="shared" si="27"/>
        <v>25433</v>
      </c>
      <c r="G166" s="165">
        <f>Input!J21</f>
        <v>24984</v>
      </c>
      <c r="H166" s="165">
        <f t="shared" si="28"/>
        <v>-449</v>
      </c>
      <c r="J166" s="57">
        <v>10</v>
      </c>
      <c r="K166" s="57" t="s">
        <v>86</v>
      </c>
      <c r="L166" s="165">
        <f>Input!G20</f>
        <v>22686</v>
      </c>
      <c r="M166" s="151">
        <f t="shared" si="29"/>
        <v>0.97522479194122291</v>
      </c>
      <c r="N166" s="165">
        <f t="shared" si="30"/>
        <v>25777</v>
      </c>
      <c r="O166" s="165">
        <f>Input!I20</f>
        <v>23810</v>
      </c>
      <c r="P166" s="165">
        <f t="shared" si="31"/>
        <v>-1967</v>
      </c>
    </row>
    <row r="167" spans="2:16" x14ac:dyDescent="0.25">
      <c r="B167" s="57">
        <v>12</v>
      </c>
      <c r="C167" s="57" t="s">
        <v>88</v>
      </c>
      <c r="D167" s="165">
        <f>Input!H22</f>
        <v>19652</v>
      </c>
      <c r="E167" s="151">
        <f t="shared" si="26"/>
        <v>0.96822608139438471</v>
      </c>
      <c r="F167" s="165">
        <f t="shared" si="27"/>
        <v>23105</v>
      </c>
      <c r="G167" s="165">
        <f>Input!J22</f>
        <v>22198</v>
      </c>
      <c r="H167" s="165">
        <f t="shared" si="28"/>
        <v>-907</v>
      </c>
      <c r="J167" s="57">
        <v>11</v>
      </c>
      <c r="K167" s="57" t="s">
        <v>87</v>
      </c>
      <c r="L167" s="165">
        <f>Input!G21</f>
        <v>19504</v>
      </c>
      <c r="M167" s="151">
        <f t="shared" si="29"/>
        <v>0.96281738689480234</v>
      </c>
      <c r="N167" s="165">
        <f t="shared" si="30"/>
        <v>22124</v>
      </c>
      <c r="O167" s="165">
        <f>Input!I21</f>
        <v>21027</v>
      </c>
      <c r="P167" s="165">
        <f t="shared" si="31"/>
        <v>-1097</v>
      </c>
    </row>
    <row r="168" spans="2:16" x14ac:dyDescent="0.25">
      <c r="B168" s="57">
        <v>13</v>
      </c>
      <c r="C168" s="57" t="s">
        <v>89</v>
      </c>
      <c r="D168" s="165">
        <f>Input!H23</f>
        <v>12875</v>
      </c>
      <c r="E168" s="151">
        <f t="shared" si="26"/>
        <v>0.95166201866799383</v>
      </c>
      <c r="F168" s="165">
        <f t="shared" si="27"/>
        <v>19028</v>
      </c>
      <c r="G168" s="165">
        <f>Input!J23</f>
        <v>18134</v>
      </c>
      <c r="H168" s="165">
        <f t="shared" si="28"/>
        <v>-894</v>
      </c>
      <c r="J168" s="57">
        <v>12</v>
      </c>
      <c r="K168" s="57" t="s">
        <v>88</v>
      </c>
      <c r="L168" s="165">
        <f>Input!G22</f>
        <v>16011</v>
      </c>
      <c r="M168" s="151">
        <f t="shared" si="29"/>
        <v>0.94713637011152818</v>
      </c>
      <c r="N168" s="165">
        <f t="shared" si="30"/>
        <v>18779</v>
      </c>
      <c r="O168" s="165">
        <f>Input!I22</f>
        <v>17928</v>
      </c>
      <c r="P168" s="165">
        <f t="shared" si="31"/>
        <v>-851</v>
      </c>
    </row>
    <row r="169" spans="2:16" x14ac:dyDescent="0.25">
      <c r="B169" s="57">
        <v>14</v>
      </c>
      <c r="C169" s="57" t="s">
        <v>90</v>
      </c>
      <c r="D169" s="165">
        <f>Input!H24</f>
        <v>9260</v>
      </c>
      <c r="E169" s="151">
        <f t="shared" si="26"/>
        <v>0.9248336318809729</v>
      </c>
      <c r="F169" s="165">
        <f t="shared" si="27"/>
        <v>12253</v>
      </c>
      <c r="G169" s="165">
        <f>Input!J24</f>
        <v>11793</v>
      </c>
      <c r="H169" s="165">
        <f t="shared" si="28"/>
        <v>-460</v>
      </c>
      <c r="J169" s="57">
        <v>13</v>
      </c>
      <c r="K169" s="57" t="s">
        <v>89</v>
      </c>
      <c r="L169" s="165">
        <f>Input!G23</f>
        <v>10613</v>
      </c>
      <c r="M169" s="151">
        <f t="shared" si="29"/>
        <v>0.92522691762055209</v>
      </c>
      <c r="N169" s="165">
        <f t="shared" si="30"/>
        <v>15165</v>
      </c>
      <c r="O169" s="165">
        <f>Input!I23</f>
        <v>14530</v>
      </c>
      <c r="P169" s="165">
        <f t="shared" si="31"/>
        <v>-635</v>
      </c>
    </row>
    <row r="170" spans="2:16" x14ac:dyDescent="0.25">
      <c r="B170" s="57">
        <v>15</v>
      </c>
      <c r="C170" s="57" t="s">
        <v>91</v>
      </c>
      <c r="D170" s="165">
        <f>Input!H25</f>
        <v>7676</v>
      </c>
      <c r="E170" s="151">
        <f t="shared" si="26"/>
        <v>0.88143149206082438</v>
      </c>
      <c r="F170" s="165">
        <f t="shared" si="27"/>
        <v>8564</v>
      </c>
      <c r="G170" s="165">
        <f>Input!J25</f>
        <v>8254</v>
      </c>
      <c r="H170" s="165">
        <f t="shared" si="28"/>
        <v>-310</v>
      </c>
      <c r="J170" s="57">
        <v>14</v>
      </c>
      <c r="K170" s="57" t="s">
        <v>90</v>
      </c>
      <c r="L170" s="165">
        <f>Input!G24</f>
        <v>7402</v>
      </c>
      <c r="M170" s="151">
        <f t="shared" si="29"/>
        <v>0.88969470685430108</v>
      </c>
      <c r="N170" s="165">
        <f t="shared" si="30"/>
        <v>9819</v>
      </c>
      <c r="O170" s="165">
        <f>Input!I24</f>
        <v>9311</v>
      </c>
      <c r="P170" s="165">
        <f t="shared" si="31"/>
        <v>-508</v>
      </c>
    </row>
    <row r="171" spans="2:16" x14ac:dyDescent="0.25">
      <c r="B171" s="57">
        <v>16</v>
      </c>
      <c r="C171" s="57" t="s">
        <v>92</v>
      </c>
      <c r="D171" s="165">
        <f>Input!H26</f>
        <v>6592</v>
      </c>
      <c r="E171" s="151">
        <f t="shared" si="26"/>
        <v>0.80921734673671208</v>
      </c>
      <c r="F171" s="165">
        <f t="shared" si="27"/>
        <v>6766</v>
      </c>
      <c r="G171" s="165">
        <f>Input!J26</f>
        <v>6552</v>
      </c>
      <c r="H171" s="165">
        <f t="shared" si="28"/>
        <v>-214</v>
      </c>
      <c r="J171" s="57">
        <v>15</v>
      </c>
      <c r="K171" s="57" t="s">
        <v>91</v>
      </c>
      <c r="L171" s="165">
        <f>Input!G25</f>
        <v>5296</v>
      </c>
      <c r="M171" s="151">
        <f t="shared" si="29"/>
        <v>0.83326997187224294</v>
      </c>
      <c r="N171" s="165">
        <f t="shared" si="30"/>
        <v>6586</v>
      </c>
      <c r="O171" s="165">
        <f>Input!I25</f>
        <v>6107</v>
      </c>
      <c r="P171" s="165">
        <f t="shared" si="31"/>
        <v>-479</v>
      </c>
    </row>
    <row r="172" spans="2:16" x14ac:dyDescent="0.25">
      <c r="B172" s="57">
        <v>17</v>
      </c>
      <c r="C172" s="57" t="s">
        <v>93</v>
      </c>
      <c r="D172" s="165">
        <f>Input!H27</f>
        <v>5303</v>
      </c>
      <c r="E172" s="151">
        <f t="shared" si="26"/>
        <v>0.68905002842933327</v>
      </c>
      <c r="F172" s="165">
        <f t="shared" si="27"/>
        <v>5334</v>
      </c>
      <c r="G172" s="165">
        <f>Input!J27</f>
        <v>5287</v>
      </c>
      <c r="H172" s="165">
        <f t="shared" si="28"/>
        <v>-47</v>
      </c>
      <c r="J172" s="57">
        <v>16</v>
      </c>
      <c r="K172" s="57" t="s">
        <v>92</v>
      </c>
      <c r="L172" s="165">
        <f>Input!G26</f>
        <v>4137</v>
      </c>
      <c r="M172" s="151">
        <f t="shared" si="29"/>
        <v>0.74277628968638554</v>
      </c>
      <c r="N172" s="165">
        <f t="shared" si="30"/>
        <v>4413</v>
      </c>
      <c r="O172" s="165">
        <f>Input!I26</f>
        <v>4182</v>
      </c>
      <c r="P172" s="165">
        <f t="shared" si="31"/>
        <v>-231</v>
      </c>
    </row>
    <row r="173" spans="2:16" x14ac:dyDescent="0.25">
      <c r="B173" s="57">
        <v>18</v>
      </c>
      <c r="C173" s="57" t="s">
        <v>119</v>
      </c>
      <c r="D173" s="165">
        <f>Input!H28</f>
        <v>4971</v>
      </c>
      <c r="E173" s="151">
        <f t="shared" si="26"/>
        <v>0.41937695022620131</v>
      </c>
      <c r="F173" s="165">
        <f>ROUND((D172*E172)+(D173*E173),0)</f>
        <v>5739</v>
      </c>
      <c r="G173" s="165">
        <f>Input!J28</f>
        <v>5400</v>
      </c>
      <c r="H173" s="165">
        <f t="shared" si="28"/>
        <v>-339</v>
      </c>
      <c r="J173" s="57">
        <v>17</v>
      </c>
      <c r="K173" s="57" t="s">
        <v>93</v>
      </c>
      <c r="L173" s="165">
        <f>Input!G27</f>
        <v>2923</v>
      </c>
      <c r="M173" s="151">
        <f t="shared" si="29"/>
        <v>0.60469408458837726</v>
      </c>
      <c r="N173" s="165">
        <f t="shared" si="30"/>
        <v>3073</v>
      </c>
      <c r="O173" s="165">
        <f>Input!I27</f>
        <v>3046</v>
      </c>
      <c r="P173" s="165">
        <f t="shared" si="31"/>
        <v>-27</v>
      </c>
    </row>
    <row r="174" spans="2:16" x14ac:dyDescent="0.25">
      <c r="B174" s="72" t="s">
        <v>95</v>
      </c>
      <c r="C174" s="170" t="s">
        <v>17</v>
      </c>
      <c r="D174" s="169">
        <f>SUM(D156:D173)</f>
        <v>348603</v>
      </c>
      <c r="E174" s="72" t="s">
        <v>95</v>
      </c>
      <c r="F174" s="169">
        <f>SUM(F156:F173)</f>
        <v>364129</v>
      </c>
      <c r="G174" s="169">
        <f>SUM(G156:G173)</f>
        <v>360538</v>
      </c>
      <c r="H174" s="169">
        <f>SUM(H156:H173)</f>
        <v>-3591</v>
      </c>
      <c r="J174" s="57">
        <v>18</v>
      </c>
      <c r="K174" s="57" t="s">
        <v>119</v>
      </c>
      <c r="L174" s="165">
        <f>Input!G28</f>
        <v>1891</v>
      </c>
      <c r="M174" s="151">
        <f t="shared" si="29"/>
        <v>0.35627461584395853</v>
      </c>
      <c r="N174" s="165">
        <f>ROUND((L173*M173)+(L174*M174),0)</f>
        <v>2441</v>
      </c>
      <c r="O174" s="165">
        <f>Input!I28</f>
        <v>2296</v>
      </c>
      <c r="P174" s="165">
        <f t="shared" si="31"/>
        <v>-145</v>
      </c>
    </row>
    <row r="175" spans="2:16" x14ac:dyDescent="0.25">
      <c r="J175" s="72" t="s">
        <v>95</v>
      </c>
      <c r="K175" s="170" t="s">
        <v>17</v>
      </c>
      <c r="L175" s="169">
        <f>SUM(L157:L174)</f>
        <v>320395</v>
      </c>
      <c r="M175" s="72" t="s">
        <v>95</v>
      </c>
      <c r="N175" s="169">
        <f>SUM(N157:N174)</f>
        <v>338120</v>
      </c>
      <c r="O175" s="169">
        <f>SUM(O157:O174)</f>
        <v>331355</v>
      </c>
      <c r="P175" s="169">
        <f>SUM(P157:P174)</f>
        <v>-6765</v>
      </c>
    </row>
    <row r="177" spans="3:13" x14ac:dyDescent="0.25">
      <c r="C177" s="133" t="s">
        <v>135</v>
      </c>
      <c r="L177" s="25" t="s">
        <v>137</v>
      </c>
    </row>
    <row r="179" spans="3:13" x14ac:dyDescent="0.25">
      <c r="C179" s="113" t="str">
        <f>"PEF{2}^"&amp;launch.year&amp;" = "</f>
        <v xml:space="preserve">PEF{2}^2010 = </v>
      </c>
      <c r="D179" s="164" t="str">
        <f>"PF{1}^"&amp;launch.year&amp;" X s{1,2}^{"&amp;launch.year-5&amp;","&amp;launch.year&amp;"}"</f>
        <v>PF{1}^2010 X s{1,2}^{2005,2010}</v>
      </c>
      <c r="L179" s="113" t="str">
        <f>"PEM{2}^"&amp;launch.year&amp;" = "</f>
        <v xml:space="preserve">PEM{2}^2010 = </v>
      </c>
      <c r="M179" s="164" t="str">
        <f>"PM{1}^"&amp;launch.year&amp;" X s{1,2}^{"&amp;launch.year-5&amp;","&amp;launch.year&amp;"}"</f>
        <v>PM{1}^2010 X s{1,2}^{2005,2010}</v>
      </c>
    </row>
    <row r="180" spans="3:13" x14ac:dyDescent="0.25">
      <c r="C180" s="134" t="s">
        <v>108</v>
      </c>
      <c r="D180" s="25" t="str">
        <f>TEXT($D$156,"#,###")&amp;" X "&amp;TEXT($E$156,"#0.###0")</f>
        <v>23,916 X 0.9991</v>
      </c>
      <c r="L180" s="134" t="s">
        <v>108</v>
      </c>
      <c r="M180" s="25" t="str">
        <f>TEXT($L$157,"#,###")&amp;" X "&amp;TEXT($M$157,"#0.###0")</f>
        <v>25,497 X 0.9988</v>
      </c>
    </row>
    <row r="181" spans="3:13" x14ac:dyDescent="0.25">
      <c r="C181" s="134" t="s">
        <v>136</v>
      </c>
      <c r="D181" s="171">
        <f>$D$156*$E$156</f>
        <v>23894.757371557902</v>
      </c>
      <c r="L181" s="134" t="s">
        <v>136</v>
      </c>
      <c r="M181" s="171">
        <f>$L$157*$M$157</f>
        <v>25467.418670979772</v>
      </c>
    </row>
    <row r="183" spans="3:13" x14ac:dyDescent="0.25">
      <c r="C183" s="113" t="str">
        <f>"PEF{18}^"&amp;launch.year&amp;" = "</f>
        <v xml:space="preserve">PEF{18}^2010 = </v>
      </c>
      <c r="D183" s="164" t="str">
        <f>"( PF{17}^"&amp;launch.year-5&amp;" X s{17,18}^{"&amp;launch.year-5&amp;","&amp;launch.year&amp;"} ) +( PF{18}^"&amp;launch.year-5&amp;" X s{18,18}^{"&amp;launch.year-5&amp;","&amp;launch.year&amp;"} )"</f>
        <v>( PF{17}^2005 X s{17,18}^{2005,2010} ) +( PF{18}^2005 X s{18,18}^{2005,2010} )</v>
      </c>
      <c r="L183" s="113" t="str">
        <f>"PEM{18}^"&amp;launch.year&amp;" = "</f>
        <v xml:space="preserve">PEM{18}^2010 = </v>
      </c>
      <c r="M183" s="164" t="str">
        <f>"( PM{17}^"&amp;launch.year-5&amp;" X s{17,18}^{"&amp;launch.year-5&amp;","&amp;launch.year&amp;"} ) + ( PM{18}^"&amp;launch.year-5&amp;" X s{18,18}^{"&amp;launch.year-5&amp;","&amp;launch.year&amp;"} )"</f>
        <v>( PM{17}^2005 X s{17,18}^{2005,2010} ) + ( PM{18}^2005 X s{18,18}^{2005,2010} )</v>
      </c>
    </row>
    <row r="184" spans="3:13" x14ac:dyDescent="0.25">
      <c r="C184" s="134" t="s">
        <v>108</v>
      </c>
      <c r="D184" s="133" t="str">
        <f>"( "&amp;TEXT($D$172,"#,###")&amp;" X "&amp;TEXT($E$172,"#0.###0")&amp;" ) + ( "&amp;TEXT($D$173,"#,###")&amp;" X "&amp;TEXT($E$173,"#0.###0")&amp;" )"</f>
        <v>( 5,303 X 0.6891 ) + ( 4,971 X 0.4194 )</v>
      </c>
      <c r="L184" s="134" t="s">
        <v>108</v>
      </c>
      <c r="M184" s="133" t="str">
        <f>"( "&amp;TEXT($L$173,"#,###")&amp;" X "&amp;TEXT($M$173,"#0.###0")&amp;" ) + ( "&amp;TEXT($L$174,"#,###")&amp;" X "&amp;TEXT($M$174,"#0.###0")&amp;" )"</f>
        <v>( 2,923 X 0.6047 ) + ( 1,891 X 0.3563 )</v>
      </c>
    </row>
    <row r="185" spans="3:13" x14ac:dyDescent="0.25">
      <c r="C185" s="134" t="s">
        <v>136</v>
      </c>
      <c r="D185" s="171">
        <f>($D$172*$E$172)+($D$173*$E$173)</f>
        <v>5738.7551203352014</v>
      </c>
      <c r="L185" s="134" t="s">
        <v>136</v>
      </c>
      <c r="M185" s="171">
        <f>($L$173*$M$173)+($L$174*$M$174)</f>
        <v>2441.2361078127524</v>
      </c>
    </row>
    <row r="187" spans="3:13" x14ac:dyDescent="0.25">
      <c r="C187" s="113" t="str">
        <f>"PEF{1}^"&amp;launch.year&amp;" = "</f>
        <v xml:space="preserve">PEF{1}^2010 = </v>
      </c>
      <c r="D187" s="25" t="str">
        <f>"BF^{"&amp;launch.year-5&amp;"-"&amp;launch.year&amp;"} X s{0,1}^{"&amp;launch.year-5&amp;","&amp;launch.year&amp;"}"</f>
        <v>BF^{2005-2010} X s{0,1}^{2005,2010}</v>
      </c>
      <c r="L187" s="113" t="str">
        <f>"PEM{1}^"&amp;launch.year&amp;" = "</f>
        <v xml:space="preserve">PEM{1}^2010 = </v>
      </c>
      <c r="M187" s="25" t="str">
        <f>"BM^{"&amp;launch.year-5&amp;"-"&amp;launch.year&amp;"} X s{0,1}^{"&amp;launch.year-5&amp;","&amp;launch.year&amp;"}"</f>
        <v>BM^{2005-2010} X s{0,1}^{2005,2010}</v>
      </c>
    </row>
    <row r="188" spans="3:13" x14ac:dyDescent="0.25">
      <c r="C188" s="134" t="s">
        <v>108</v>
      </c>
      <c r="D188" s="133" t="str">
        <f>TEXT($D$155,"#,###")&amp;" X "&amp;TEXT($E$155,"#0.###0")</f>
        <v>26,084 X 0.9941</v>
      </c>
      <c r="L188" s="134" t="s">
        <v>108</v>
      </c>
      <c r="M188" s="133" t="str">
        <f>TEXT($L$156,"#,###")&amp;" X "&amp;TEXT($M$156,"#0.###0")</f>
        <v>27,478 X 0.9929</v>
      </c>
    </row>
    <row r="189" spans="3:13" x14ac:dyDescent="0.25">
      <c r="C189" s="134" t="s">
        <v>136</v>
      </c>
      <c r="D189" s="171">
        <f>$D$155*$E$155</f>
        <v>25930.7565</v>
      </c>
      <c r="L189" s="134" t="s">
        <v>136</v>
      </c>
      <c r="M189" s="171">
        <f>$L$156*$M$156</f>
        <v>27284.060276</v>
      </c>
    </row>
    <row r="190" spans="3:13" x14ac:dyDescent="0.25">
      <c r="C190" s="134"/>
      <c r="D190" s="171"/>
      <c r="L190" s="134"/>
      <c r="M190" s="171"/>
    </row>
    <row r="191" spans="3:13" x14ac:dyDescent="0.25">
      <c r="C191" s="134" t="str">
        <f>"NMF{1}^{"&amp;launch.year-5&amp;","&amp;launch.year&amp;"}"</f>
        <v>NMF{1}^{2005,2010}</v>
      </c>
      <c r="D191" s="171" t="str">
        <f>"PF{1}^"&amp;launch.year&amp;" - PEF{1}^"&amp;launch.year</f>
        <v>PF{1}^2010 - PEF{1}^2010</v>
      </c>
      <c r="L191" s="134" t="str">
        <f>"NMM{1}^{"&amp;launch.year-5&amp;","&amp;launch.year&amp;"}"</f>
        <v>NMM{1}^{2005,2010}</v>
      </c>
      <c r="M191" s="171" t="str">
        <f>"PM{1}^"&amp;launch.year&amp;" - PEM{1}^"&amp;launch.year</f>
        <v>PM{1}^2010 - PEM{1}^2010</v>
      </c>
    </row>
    <row r="192" spans="3:13" x14ac:dyDescent="0.25">
      <c r="C192" s="134" t="s">
        <v>108</v>
      </c>
      <c r="D192" s="171" t="str">
        <f>TEXT($G$156,"#,###")&amp;" - "&amp;TEXT($F$156,"#,###")</f>
        <v>24,551 - 25,931</v>
      </c>
      <c r="L192" s="134" t="s">
        <v>108</v>
      </c>
      <c r="M192" s="171" t="str">
        <f>TEXT($O$157,"#,###")&amp;" - "&amp;TEXT($N$157,"#,###")</f>
        <v>25,856 - 27,284</v>
      </c>
    </row>
    <row r="193" spans="2:14" x14ac:dyDescent="0.25">
      <c r="C193" s="134" t="s">
        <v>108</v>
      </c>
      <c r="D193" s="171">
        <f>$G$156-$F$156</f>
        <v>-1380</v>
      </c>
      <c r="L193" s="134" t="s">
        <v>108</v>
      </c>
      <c r="M193" s="171">
        <f>$O$157-$N$157</f>
        <v>-1428</v>
      </c>
    </row>
    <row r="194" spans="2:14" x14ac:dyDescent="0.25">
      <c r="C194" s="134"/>
      <c r="D194" s="171"/>
      <c r="L194" s="134"/>
      <c r="M194" s="171"/>
    </row>
    <row r="196" spans="2:14" x14ac:dyDescent="0.25">
      <c r="B196" s="174" t="str">
        <f>"Computing Female Net Migration Rates: "&amp;study.area&amp;", "&amp;launch.year-5&amp;"-"&amp;launch.year</f>
        <v>Computing Female Net Migration Rates: DeKalb County, 2005-2010</v>
      </c>
      <c r="I196" s="174" t="str">
        <f>"Computing Male Net Migration Rates: "&amp;study.area&amp;", "&amp;launch.year-5&amp;"-"&amp;launch.year</f>
        <v>Computing Male Net Migration Rates: DeKalb County, 2005-2010</v>
      </c>
    </row>
    <row r="198" spans="2:14" ht="30" x14ac:dyDescent="0.25">
      <c r="B198" s="175" t="s">
        <v>6</v>
      </c>
      <c r="C198" s="175" t="s">
        <v>78</v>
      </c>
      <c r="D198" s="176" t="s">
        <v>138</v>
      </c>
      <c r="E198" s="176" t="s">
        <v>139</v>
      </c>
      <c r="F198" s="176" t="s">
        <v>140</v>
      </c>
      <c r="G198" s="176" t="s">
        <v>141</v>
      </c>
      <c r="I198" s="175" t="s">
        <v>6</v>
      </c>
      <c r="J198" s="175" t="s">
        <v>78</v>
      </c>
      <c r="K198" s="176" t="s">
        <v>142</v>
      </c>
      <c r="L198" s="176" t="s">
        <v>139</v>
      </c>
      <c r="M198" s="176" t="s">
        <v>140</v>
      </c>
      <c r="N198" s="176" t="s">
        <v>141</v>
      </c>
    </row>
    <row r="199" spans="2:14" x14ac:dyDescent="0.25">
      <c r="B199" s="177" t="s">
        <v>31</v>
      </c>
      <c r="C199" s="178"/>
      <c r="D199" s="179" t="str">
        <f>"PNF{n}^"&amp;launch.year-5</f>
        <v>PNF{n}^2005</v>
      </c>
      <c r="E199" s="179" t="str">
        <f>"NMF{n}^{"&amp;launch.year-5&amp;","&amp;launch.year&amp;"}"</f>
        <v>NMF{n}^{2005,2010}</v>
      </c>
      <c r="F199" s="179" t="str">
        <f>"nmf{n}^{"&amp;launch.year-5&amp;","&amp;launch.year&amp;"}"</f>
        <v>nmf{n}^{2005,2010}</v>
      </c>
      <c r="G199" s="179" t="str">
        <f>"nmf{n}^{"&amp;launch.year-5&amp;","&amp;launch.year&amp;"}"</f>
        <v>nmf{n}^{2005,2010}</v>
      </c>
      <c r="I199" s="177" t="s">
        <v>31</v>
      </c>
      <c r="J199" s="178"/>
      <c r="K199" s="179" t="str">
        <f>"PNM{n}^"&amp;launch.year-5</f>
        <v>PNM{n}^2005</v>
      </c>
      <c r="L199" s="179" t="str">
        <f>"NMM{n}^{"&amp;launch.year-5&amp;","&amp;launch.year&amp;"}"</f>
        <v>NMM{n}^{2005,2010}</v>
      </c>
      <c r="M199" s="179" t="str">
        <f>"nmm{n}^{"&amp;launch.year-5&amp;","&amp;launch.year&amp;"}"</f>
        <v>nmm{n}^{2005,2010}</v>
      </c>
      <c r="N199" s="179" t="str">
        <f>"nmm{n}^{"&amp;launch.year-5&amp;","&amp;launch.year&amp;"}"</f>
        <v>nmm{n}^{2005,2010}</v>
      </c>
    </row>
    <row r="200" spans="2:14" x14ac:dyDescent="0.25">
      <c r="B200" s="180" t="s">
        <v>9</v>
      </c>
      <c r="C200" s="180" t="s">
        <v>10</v>
      </c>
      <c r="D200" s="180" t="s">
        <v>11</v>
      </c>
      <c r="E200" s="180" t="s">
        <v>12</v>
      </c>
      <c r="F200" s="180" t="s">
        <v>13</v>
      </c>
      <c r="G200" s="180" t="s">
        <v>14</v>
      </c>
      <c r="I200" s="180" t="s">
        <v>9</v>
      </c>
      <c r="J200" s="180" t="s">
        <v>10</v>
      </c>
      <c r="K200" s="180" t="s">
        <v>11</v>
      </c>
      <c r="L200" s="180" t="s">
        <v>12</v>
      </c>
      <c r="M200" s="180" t="s">
        <v>13</v>
      </c>
      <c r="N200" s="180" t="s">
        <v>14</v>
      </c>
    </row>
    <row r="201" spans="2:14" x14ac:dyDescent="0.25">
      <c r="B201" s="57">
        <v>1</v>
      </c>
      <c r="C201" s="179" t="s">
        <v>118</v>
      </c>
      <c r="D201" s="100">
        <f>Input!AC11</f>
        <v>9741805</v>
      </c>
      <c r="E201" s="181">
        <f>H156</f>
        <v>-1380</v>
      </c>
      <c r="F201" s="182">
        <f t="shared" ref="F201:F218" si="32">E201/D201</f>
        <v>-1.4165752650561163E-4</v>
      </c>
      <c r="G201" s="183">
        <f t="shared" ref="G201:G217" si="33">(F201+F202)/2</f>
        <v>-1.6134059048340777E-4</v>
      </c>
      <c r="I201" s="179">
        <v>1</v>
      </c>
      <c r="J201" s="179" t="s">
        <v>118</v>
      </c>
      <c r="K201" s="181">
        <v>10319427</v>
      </c>
      <c r="L201" s="181">
        <f t="shared" ref="L201:L218" si="34">P157</f>
        <v>-1428</v>
      </c>
      <c r="M201" s="182">
        <f t="shared" ref="M201:M218" si="35">ROUND(L201/K201,8)</f>
        <v>-1.3838000000000001E-4</v>
      </c>
      <c r="N201" s="184">
        <f t="shared" ref="N201:N217" si="36">ROUND((M201+M202)/2,8)</f>
        <v>-1.8262000000000001E-4</v>
      </c>
    </row>
    <row r="202" spans="2:14" x14ac:dyDescent="0.25">
      <c r="B202" s="57">
        <v>2</v>
      </c>
      <c r="C202" s="185" t="s">
        <v>39</v>
      </c>
      <c r="D202" s="100">
        <f>Input!AC12</f>
        <v>9473900</v>
      </c>
      <c r="E202" s="181">
        <f t="shared" ref="E202:E218" si="37">H157</f>
        <v>-1715</v>
      </c>
      <c r="F202" s="182">
        <f t="shared" si="32"/>
        <v>-1.8102365446120394E-4</v>
      </c>
      <c r="G202" s="182">
        <f t="shared" si="33"/>
        <v>-1.1979176683855227E-4</v>
      </c>
      <c r="I202" s="179">
        <v>2</v>
      </c>
      <c r="J202" s="185" t="s">
        <v>39</v>
      </c>
      <c r="K202" s="181">
        <v>10389638</v>
      </c>
      <c r="L202" s="181">
        <f t="shared" si="34"/>
        <v>-2357</v>
      </c>
      <c r="M202" s="182">
        <f t="shared" si="35"/>
        <v>-2.2686000000000001E-4</v>
      </c>
      <c r="N202" s="184">
        <f t="shared" si="36"/>
        <v>-1.3212E-4</v>
      </c>
    </row>
    <row r="203" spans="2:14" x14ac:dyDescent="0.25">
      <c r="B203" s="57">
        <v>3</v>
      </c>
      <c r="C203" s="185" t="s">
        <v>40</v>
      </c>
      <c r="D203" s="100">
        <f>Input!AC13</f>
        <v>10348382</v>
      </c>
      <c r="E203" s="181">
        <f t="shared" si="37"/>
        <v>-606</v>
      </c>
      <c r="F203" s="182">
        <f t="shared" si="32"/>
        <v>-5.8559879215900612E-5</v>
      </c>
      <c r="G203" s="182">
        <f t="shared" si="33"/>
        <v>-6.1048670149602846E-5</v>
      </c>
      <c r="I203" s="186">
        <v>3</v>
      </c>
      <c r="J203" s="185" t="s">
        <v>40</v>
      </c>
      <c r="K203" s="181">
        <v>10864197</v>
      </c>
      <c r="L203" s="181">
        <f t="shared" si="34"/>
        <v>-406</v>
      </c>
      <c r="M203" s="182">
        <f t="shared" si="35"/>
        <v>-3.7370000000000003E-5</v>
      </c>
      <c r="N203" s="184">
        <f t="shared" si="36"/>
        <v>-5.3890000000000001E-5</v>
      </c>
    </row>
    <row r="204" spans="2:14" x14ac:dyDescent="0.25">
      <c r="B204" s="57">
        <v>4</v>
      </c>
      <c r="C204" s="179" t="s">
        <v>80</v>
      </c>
      <c r="D204" s="100">
        <f>Input!AC14</f>
        <v>10434789</v>
      </c>
      <c r="E204" s="181">
        <f t="shared" si="37"/>
        <v>-663</v>
      </c>
      <c r="F204" s="182">
        <f t="shared" si="32"/>
        <v>-6.353746108330508E-5</v>
      </c>
      <c r="G204" s="182">
        <f t="shared" si="33"/>
        <v>1.7424124362786609E-4</v>
      </c>
      <c r="I204" s="179">
        <v>4</v>
      </c>
      <c r="J204" s="179" t="s">
        <v>80</v>
      </c>
      <c r="K204" s="181">
        <v>11051425</v>
      </c>
      <c r="L204" s="181">
        <f t="shared" si="34"/>
        <v>-778</v>
      </c>
      <c r="M204" s="182">
        <f t="shared" si="35"/>
        <v>-7.0400000000000004E-5</v>
      </c>
      <c r="N204" s="184">
        <f t="shared" si="36"/>
        <v>1.1074E-4</v>
      </c>
    </row>
    <row r="205" spans="2:14" x14ac:dyDescent="0.25">
      <c r="B205" s="57">
        <v>5</v>
      </c>
      <c r="C205" s="179" t="s">
        <v>81</v>
      </c>
      <c r="D205" s="100">
        <f>Input!AC15</f>
        <v>10222806</v>
      </c>
      <c r="E205" s="181">
        <f t="shared" si="37"/>
        <v>4212</v>
      </c>
      <c r="F205" s="182">
        <f t="shared" si="32"/>
        <v>4.1201994833903725E-4</v>
      </c>
      <c r="G205" s="182">
        <f t="shared" si="33"/>
        <v>5.3367901741915543E-4</v>
      </c>
      <c r="I205" s="179">
        <v>5</v>
      </c>
      <c r="J205" s="179" t="s">
        <v>81</v>
      </c>
      <c r="K205" s="181">
        <v>10737149</v>
      </c>
      <c r="L205" s="181">
        <f t="shared" si="34"/>
        <v>3134</v>
      </c>
      <c r="M205" s="182">
        <f t="shared" si="35"/>
        <v>2.9188E-4</v>
      </c>
      <c r="N205" s="184">
        <f t="shared" si="36"/>
        <v>4.1283999999999998E-4</v>
      </c>
    </row>
    <row r="206" spans="2:14" x14ac:dyDescent="0.25">
      <c r="B206" s="57">
        <v>6</v>
      </c>
      <c r="C206" s="179" t="s">
        <v>82</v>
      </c>
      <c r="D206" s="100">
        <f>Input!AC16</f>
        <v>9712544</v>
      </c>
      <c r="E206" s="181">
        <f t="shared" si="37"/>
        <v>6365</v>
      </c>
      <c r="F206" s="182">
        <f t="shared" si="32"/>
        <v>6.5533808649927356E-4</v>
      </c>
      <c r="G206" s="182">
        <f t="shared" si="33"/>
        <v>2.8903212917589681E-4</v>
      </c>
      <c r="I206" s="186">
        <v>6</v>
      </c>
      <c r="J206" s="179" t="s">
        <v>82</v>
      </c>
      <c r="K206" s="181">
        <v>9822166</v>
      </c>
      <c r="L206" s="181">
        <f t="shared" si="34"/>
        <v>5243</v>
      </c>
      <c r="M206" s="182">
        <f t="shared" si="35"/>
        <v>5.3379000000000002E-4</v>
      </c>
      <c r="N206" s="184">
        <f t="shared" si="36"/>
        <v>2.6628999999999997E-4</v>
      </c>
    </row>
    <row r="207" spans="2:14" x14ac:dyDescent="0.25">
      <c r="B207" s="57">
        <v>7</v>
      </c>
      <c r="C207" s="179" t="s">
        <v>83</v>
      </c>
      <c r="D207" s="100">
        <f>Input!AC17</f>
        <v>9835154</v>
      </c>
      <c r="E207" s="181">
        <f t="shared" si="37"/>
        <v>-760</v>
      </c>
      <c r="F207" s="182">
        <f t="shared" si="32"/>
        <v>-7.7273828147479944E-5</v>
      </c>
      <c r="G207" s="182">
        <f t="shared" si="33"/>
        <v>-1.2114088559786399E-4</v>
      </c>
      <c r="I207" s="179">
        <v>7</v>
      </c>
      <c r="J207" s="179" t="s">
        <v>83</v>
      </c>
      <c r="K207" s="181">
        <v>9888783</v>
      </c>
      <c r="L207" s="181">
        <f t="shared" si="34"/>
        <v>-12</v>
      </c>
      <c r="M207" s="182">
        <f t="shared" si="35"/>
        <v>-1.2100000000000001E-6</v>
      </c>
      <c r="N207" s="184">
        <f t="shared" si="36"/>
        <v>-6.3960000000000004E-5</v>
      </c>
    </row>
    <row r="208" spans="2:14" x14ac:dyDescent="0.25">
      <c r="B208" s="57">
        <v>8</v>
      </c>
      <c r="C208" s="179" t="s">
        <v>84</v>
      </c>
      <c r="D208" s="100">
        <f>Input!AC18</f>
        <v>10411620</v>
      </c>
      <c r="E208" s="181">
        <f t="shared" si="37"/>
        <v>-1718</v>
      </c>
      <c r="F208" s="182">
        <f t="shared" si="32"/>
        <v>-1.6500794304824803E-4</v>
      </c>
      <c r="G208" s="182">
        <f t="shared" si="33"/>
        <v>-1.766654943756894E-4</v>
      </c>
      <c r="I208" s="179">
        <v>8</v>
      </c>
      <c r="J208" s="179" t="s">
        <v>84</v>
      </c>
      <c r="K208" s="181">
        <v>10387033</v>
      </c>
      <c r="L208" s="181">
        <f t="shared" si="34"/>
        <v>-1316</v>
      </c>
      <c r="M208" s="182">
        <f t="shared" si="35"/>
        <v>-1.2669999999999999E-4</v>
      </c>
      <c r="N208" s="184">
        <f t="shared" si="36"/>
        <v>-1.9243E-4</v>
      </c>
    </row>
    <row r="209" spans="2:14" x14ac:dyDescent="0.25">
      <c r="B209" s="57">
        <v>9</v>
      </c>
      <c r="C209" s="179" t="s">
        <v>85</v>
      </c>
      <c r="D209" s="100">
        <f>Input!AC19</f>
        <v>11453723</v>
      </c>
      <c r="E209" s="181">
        <f t="shared" si="37"/>
        <v>-2157</v>
      </c>
      <c r="F209" s="182">
        <f t="shared" si="32"/>
        <v>-1.8832304570313077E-4</v>
      </c>
      <c r="G209" s="182">
        <f t="shared" si="33"/>
        <v>-1.6235682080118063E-4</v>
      </c>
      <c r="I209" s="186">
        <v>9</v>
      </c>
      <c r="J209" s="179" t="s">
        <v>85</v>
      </c>
      <c r="K209" s="181">
        <v>11253162</v>
      </c>
      <c r="L209" s="181">
        <f t="shared" si="34"/>
        <v>-2905</v>
      </c>
      <c r="M209" s="182">
        <f t="shared" si="35"/>
        <v>-2.5815000000000001E-4</v>
      </c>
      <c r="N209" s="184">
        <f t="shared" si="36"/>
        <v>-2.1800000000000001E-4</v>
      </c>
    </row>
    <row r="210" spans="2:14" x14ac:dyDescent="0.25">
      <c r="B210" s="57">
        <v>10</v>
      </c>
      <c r="C210" s="179" t="s">
        <v>86</v>
      </c>
      <c r="D210" s="100">
        <f>Input!AC20</f>
        <v>11357088</v>
      </c>
      <c r="E210" s="181">
        <f t="shared" si="37"/>
        <v>-1549</v>
      </c>
      <c r="F210" s="182">
        <f t="shared" si="32"/>
        <v>-1.363905958992305E-4</v>
      </c>
      <c r="G210" s="182">
        <f t="shared" si="33"/>
        <v>-9.0081848406010762E-5</v>
      </c>
      <c r="I210" s="179">
        <v>10</v>
      </c>
      <c r="J210" s="179" t="s">
        <v>86</v>
      </c>
      <c r="K210" s="181">
        <v>11060083</v>
      </c>
      <c r="L210" s="181">
        <f t="shared" si="34"/>
        <v>-1967</v>
      </c>
      <c r="M210" s="182">
        <f t="shared" si="35"/>
        <v>-1.7785000000000001E-4</v>
      </c>
      <c r="N210" s="184">
        <f t="shared" si="36"/>
        <v>-1.4478000000000001E-4</v>
      </c>
    </row>
    <row r="211" spans="2:14" x14ac:dyDescent="0.25">
      <c r="B211" s="57">
        <v>11</v>
      </c>
      <c r="C211" s="179" t="s">
        <v>87</v>
      </c>
      <c r="D211" s="100">
        <f>Input!AC21</f>
        <v>10257441</v>
      </c>
      <c r="E211" s="181">
        <f t="shared" si="37"/>
        <v>-449</v>
      </c>
      <c r="F211" s="182">
        <f t="shared" si="32"/>
        <v>-4.3773100912791018E-5</v>
      </c>
      <c r="G211" s="182">
        <f t="shared" si="33"/>
        <v>-7.2231477036618398E-5</v>
      </c>
      <c r="I211" s="179">
        <v>11</v>
      </c>
      <c r="J211" s="179" t="s">
        <v>87</v>
      </c>
      <c r="K211" s="181">
        <v>9821292</v>
      </c>
      <c r="L211" s="181">
        <f t="shared" si="34"/>
        <v>-1097</v>
      </c>
      <c r="M211" s="182">
        <f t="shared" si="35"/>
        <v>-1.117E-4</v>
      </c>
      <c r="N211" s="184">
        <f t="shared" si="36"/>
        <v>-1.0594000000000001E-4</v>
      </c>
    </row>
    <row r="212" spans="2:14" x14ac:dyDescent="0.25">
      <c r="B212" s="57">
        <v>12</v>
      </c>
      <c r="C212" s="179" t="s">
        <v>88</v>
      </c>
      <c r="D212" s="100">
        <f>Input!AC22</f>
        <v>9007859</v>
      </c>
      <c r="E212" s="181">
        <f t="shared" si="37"/>
        <v>-907</v>
      </c>
      <c r="F212" s="182">
        <f t="shared" si="32"/>
        <v>-1.0068985316044578E-4</v>
      </c>
      <c r="G212" s="182">
        <f t="shared" si="33"/>
        <v>-1.1550004312989943E-4</v>
      </c>
      <c r="I212" s="186">
        <v>12</v>
      </c>
      <c r="J212" s="179" t="s">
        <v>88</v>
      </c>
      <c r="K212" s="181">
        <v>8495361</v>
      </c>
      <c r="L212" s="181">
        <f t="shared" si="34"/>
        <v>-851</v>
      </c>
      <c r="M212" s="182">
        <f t="shared" si="35"/>
        <v>-1.0017E-4</v>
      </c>
      <c r="N212" s="184">
        <f t="shared" si="36"/>
        <v>-1.0066E-4</v>
      </c>
    </row>
    <row r="213" spans="2:14" x14ac:dyDescent="0.25">
      <c r="B213" s="57">
        <v>13</v>
      </c>
      <c r="C213" s="179" t="s">
        <v>89</v>
      </c>
      <c r="D213" s="100">
        <f>Input!AC23</f>
        <v>6860551</v>
      </c>
      <c r="E213" s="181">
        <f t="shared" si="37"/>
        <v>-894</v>
      </c>
      <c r="F213" s="182">
        <f t="shared" si="32"/>
        <v>-1.303102330993531E-4</v>
      </c>
      <c r="G213" s="182">
        <f t="shared" si="33"/>
        <v>-1.0720649236099384E-4</v>
      </c>
      <c r="I213" s="179">
        <v>13</v>
      </c>
      <c r="J213" s="179" t="s">
        <v>89</v>
      </c>
      <c r="K213" s="181">
        <v>6277726</v>
      </c>
      <c r="L213" s="181">
        <f t="shared" si="34"/>
        <v>-635</v>
      </c>
      <c r="M213" s="182">
        <f t="shared" si="35"/>
        <v>-1.0115000000000001E-4</v>
      </c>
      <c r="N213" s="184">
        <f t="shared" si="36"/>
        <v>-1.0339E-4</v>
      </c>
    </row>
    <row r="214" spans="2:14" x14ac:dyDescent="0.25">
      <c r="B214" s="57">
        <v>14</v>
      </c>
      <c r="C214" s="179" t="s">
        <v>90</v>
      </c>
      <c r="D214" s="100">
        <f>Input!AC24</f>
        <v>5469500</v>
      </c>
      <c r="E214" s="181">
        <f t="shared" si="37"/>
        <v>-460</v>
      </c>
      <c r="F214" s="182">
        <f t="shared" si="32"/>
        <v>-8.4102751622634604E-5</v>
      </c>
      <c r="G214" s="182">
        <f t="shared" si="33"/>
        <v>-7.4827383097317995E-5</v>
      </c>
      <c r="I214" s="179">
        <v>14</v>
      </c>
      <c r="J214" s="179" t="s">
        <v>90</v>
      </c>
      <c r="K214" s="181">
        <v>4809127</v>
      </c>
      <c r="L214" s="181">
        <f t="shared" si="34"/>
        <v>-508</v>
      </c>
      <c r="M214" s="182">
        <f t="shared" si="35"/>
        <v>-1.0563E-4</v>
      </c>
      <c r="N214" s="184">
        <f t="shared" si="36"/>
        <v>-1.1464E-4</v>
      </c>
    </row>
    <row r="215" spans="2:14" x14ac:dyDescent="0.25">
      <c r="B215" s="57">
        <v>15</v>
      </c>
      <c r="C215" s="179" t="s">
        <v>91</v>
      </c>
      <c r="D215" s="100">
        <f>Input!AC25</f>
        <v>4729069</v>
      </c>
      <c r="E215" s="181">
        <f t="shared" si="37"/>
        <v>-310</v>
      </c>
      <c r="F215" s="182">
        <f t="shared" si="32"/>
        <v>-6.5552014572001387E-5</v>
      </c>
      <c r="G215" s="182">
        <f t="shared" si="33"/>
        <v>-5.7664034423719404E-5</v>
      </c>
      <c r="I215" s="186">
        <v>15</v>
      </c>
      <c r="J215" s="179" t="s">
        <v>91</v>
      </c>
      <c r="K215" s="181">
        <v>3874001</v>
      </c>
      <c r="L215" s="181">
        <f t="shared" si="34"/>
        <v>-479</v>
      </c>
      <c r="M215" s="182">
        <f t="shared" si="35"/>
        <v>-1.2364E-4</v>
      </c>
      <c r="N215" s="184">
        <f t="shared" si="36"/>
        <v>-9.8319999999999994E-5</v>
      </c>
    </row>
    <row r="216" spans="2:14" x14ac:dyDescent="0.25">
      <c r="B216" s="57">
        <v>16</v>
      </c>
      <c r="C216" s="179" t="s">
        <v>92</v>
      </c>
      <c r="D216" s="100">
        <f>Input!AC26</f>
        <v>4299256</v>
      </c>
      <c r="E216" s="181">
        <f t="shared" si="37"/>
        <v>-214</v>
      </c>
      <c r="F216" s="182">
        <f t="shared" si="32"/>
        <v>-4.9776054275437422E-5</v>
      </c>
      <c r="G216" s="182">
        <f t="shared" si="33"/>
        <v>-3.1690592660174561E-5</v>
      </c>
      <c r="I216" s="179">
        <v>16</v>
      </c>
      <c r="J216" s="179" t="s">
        <v>92</v>
      </c>
      <c r="K216" s="181">
        <v>3164353</v>
      </c>
      <c r="L216" s="181">
        <f t="shared" si="34"/>
        <v>-231</v>
      </c>
      <c r="M216" s="182">
        <f t="shared" si="35"/>
        <v>-7.2999999999999999E-5</v>
      </c>
      <c r="N216" s="184">
        <f t="shared" si="36"/>
        <v>-4.2759999999999997E-5</v>
      </c>
    </row>
    <row r="217" spans="2:14" x14ac:dyDescent="0.25">
      <c r="B217" s="57">
        <v>17</v>
      </c>
      <c r="C217" s="179" t="s">
        <v>93</v>
      </c>
      <c r="D217" s="100">
        <f>Input!AC27</f>
        <v>3454579</v>
      </c>
      <c r="E217" s="181">
        <f t="shared" si="37"/>
        <v>-47</v>
      </c>
      <c r="F217" s="182">
        <f t="shared" si="32"/>
        <v>-1.3605131044911695E-5</v>
      </c>
      <c r="G217" s="182">
        <f t="shared" si="33"/>
        <v>-5.8965158941967737E-5</v>
      </c>
      <c r="I217" s="179">
        <v>17</v>
      </c>
      <c r="J217" s="179" t="s">
        <v>93</v>
      </c>
      <c r="K217" s="181">
        <v>2156614</v>
      </c>
      <c r="L217" s="181">
        <f t="shared" si="34"/>
        <v>-27</v>
      </c>
      <c r="M217" s="182">
        <f t="shared" si="35"/>
        <v>-1.252E-5</v>
      </c>
      <c r="N217" s="184">
        <f t="shared" si="36"/>
        <v>-5.6480000000000001E-5</v>
      </c>
    </row>
    <row r="218" spans="2:14" x14ac:dyDescent="0.25">
      <c r="B218" s="57">
        <v>18</v>
      </c>
      <c r="C218" s="187" t="s">
        <v>119</v>
      </c>
      <c r="D218" s="100">
        <f>Input!AC28</f>
        <v>3249455</v>
      </c>
      <c r="E218" s="181">
        <f t="shared" si="37"/>
        <v>-339</v>
      </c>
      <c r="F218" s="188">
        <f t="shared" si="32"/>
        <v>-1.0432518683902377E-4</v>
      </c>
      <c r="G218" s="182">
        <f>F218</f>
        <v>-1.0432518683902377E-4</v>
      </c>
      <c r="I218" s="180">
        <v>18</v>
      </c>
      <c r="J218" s="187" t="s">
        <v>119</v>
      </c>
      <c r="K218" s="181">
        <v>1443844</v>
      </c>
      <c r="L218" s="181">
        <f t="shared" si="34"/>
        <v>-145</v>
      </c>
      <c r="M218" s="182">
        <f t="shared" si="35"/>
        <v>-1.0043E-4</v>
      </c>
      <c r="N218" s="189">
        <f>M218</f>
        <v>-1.0043E-4</v>
      </c>
    </row>
    <row r="219" spans="2:14" x14ac:dyDescent="0.25">
      <c r="B219" s="190" t="s">
        <v>95</v>
      </c>
      <c r="C219" s="191" t="s">
        <v>17</v>
      </c>
      <c r="D219" s="192">
        <f>SUM(D201:D218)</f>
        <v>150319521</v>
      </c>
      <c r="E219" s="192">
        <f>SUM(E201:E218)</f>
        <v>-3591</v>
      </c>
      <c r="F219" s="190" t="s">
        <v>95</v>
      </c>
      <c r="G219" s="190" t="s">
        <v>95</v>
      </c>
      <c r="H219" s="100"/>
      <c r="I219" s="190" t="s">
        <v>143</v>
      </c>
      <c r="J219" s="191" t="s">
        <v>17</v>
      </c>
      <c r="K219" s="192">
        <f>SUM(K201:K218)</f>
        <v>145815381</v>
      </c>
      <c r="L219" s="192">
        <f>SUM(L201:L218)</f>
        <v>-6765</v>
      </c>
      <c r="M219" s="190" t="s">
        <v>143</v>
      </c>
      <c r="N219" s="190" t="s">
        <v>143</v>
      </c>
    </row>
    <row r="221" spans="2:14" x14ac:dyDescent="0.25">
      <c r="J221" s="133" t="s">
        <v>146</v>
      </c>
    </row>
    <row r="222" spans="2:14" x14ac:dyDescent="0.25">
      <c r="C222" s="133" t="s">
        <v>145</v>
      </c>
    </row>
    <row r="223" spans="2:14" x14ac:dyDescent="0.25">
      <c r="J223" s="113" t="str">
        <f>"nmm{2}^{"&amp;launch.year-5&amp;","&amp;launch.year&amp;"} = "</f>
        <v xml:space="preserve">nmm{2}^{2005,2010} = </v>
      </c>
      <c r="K223" s="25" t="str">
        <f>"NMM{2}^{"&amp;launch.year-5&amp;","&amp;launch.year&amp;"} / PNM{2}^"&amp;launch.year-5</f>
        <v>NMM{2}^{2005,2010} / PNM{2}^2005</v>
      </c>
    </row>
    <row r="224" spans="2:14" x14ac:dyDescent="0.25">
      <c r="C224" s="113" t="str">
        <f>"nmf{2}^{"&amp;launch.year-5&amp;","&amp;launch.year&amp;"} = "</f>
        <v xml:space="preserve">nmf{2}^{2005,2010} = </v>
      </c>
      <c r="D224" s="25" t="str">
        <f>"NMF{2}^{"&amp;launch.year-5&amp;","&amp;launch.year&amp;"} / PNF{2}^"&amp;launch.year-5</f>
        <v>NMF{2}^{2005,2010} / PNF{2}^2005</v>
      </c>
      <c r="J224" s="134" t="s">
        <v>108</v>
      </c>
      <c r="K224" s="133" t="str">
        <f>TEXT($L$202,"##,###")&amp;" / "&amp;TEXT($K$202,"##,###")</f>
        <v>-2,357 / 10,389,638</v>
      </c>
    </row>
    <row r="225" spans="2:65" x14ac:dyDescent="0.25">
      <c r="C225" s="134" t="s">
        <v>108</v>
      </c>
      <c r="D225" s="133" t="str">
        <f>TEXT($E$202,"##,###")&amp;" / "&amp;TEXT($D$202,"##,###")</f>
        <v>-1,715 / 9,473,900</v>
      </c>
      <c r="J225" s="134" t="s">
        <v>136</v>
      </c>
      <c r="K225" s="193">
        <f>$L$202/$K$202</f>
        <v>-2.2686064711783028E-4</v>
      </c>
    </row>
    <row r="226" spans="2:65" x14ac:dyDescent="0.25">
      <c r="C226" s="134" t="s">
        <v>136</v>
      </c>
      <c r="D226" s="193">
        <f>$E$202/$D$202</f>
        <v>-1.8102365446120394E-4</v>
      </c>
    </row>
    <row r="227" spans="2:65" x14ac:dyDescent="0.25">
      <c r="J227" s="133" t="s">
        <v>147</v>
      </c>
    </row>
    <row r="228" spans="2:65" x14ac:dyDescent="0.25">
      <c r="C228" s="133" t="s">
        <v>144</v>
      </c>
    </row>
    <row r="229" spans="2:65" x14ac:dyDescent="0.25">
      <c r="J229" s="113" t="str">
        <f>"nmm{2}^{"&amp;launch.year-5&amp;","&amp;launch.year&amp;"} = "</f>
        <v xml:space="preserve">nmm{2}^{2005,2010} = </v>
      </c>
      <c r="K229" s="133" t="str">
        <f>"( nmm{2}^{"&amp;launch.year-5&amp;","&amp;launch.year&amp;"} + nmm{3}^{"&amp;launch.year-5&amp;","&amp;launch.year&amp;"} ) / 2"</f>
        <v>( nmm{2}^{2005,2010} + nmm{3}^{2005,2010} ) / 2</v>
      </c>
    </row>
    <row r="230" spans="2:65" x14ac:dyDescent="0.25">
      <c r="C230" s="113" t="str">
        <f>"nmf{2}^{"&amp;launch.year-5&amp;","&amp;launch.year&amp;"} = "</f>
        <v xml:space="preserve">nmf{2}^{2005,2010} = </v>
      </c>
      <c r="D230" s="133" t="str">
        <f>"( nmf{2}^{"&amp;launch.year-5&amp;","&amp;launch.year&amp;"} + nmf{3}^{"&amp;launch.year-5&amp;","&amp;launch.year&amp;"} ) / 2"</f>
        <v>( nmf{2}^{2005,2010} + nmf{3}^{2005,2010} ) / 2</v>
      </c>
      <c r="J230" s="134" t="s">
        <v>108</v>
      </c>
      <c r="K230" s="25" t="str">
        <f>"("&amp;TEXT($M$202,"0.000E+00")&amp;" + "&amp;TEXT($M$203,"0.000E+00")&amp;" ) / 2"</f>
        <v>(-2.269E-04 + -3.737E-05 ) / 2</v>
      </c>
    </row>
    <row r="231" spans="2:65" x14ac:dyDescent="0.25">
      <c r="C231" s="134" t="s">
        <v>108</v>
      </c>
      <c r="D231" s="25" t="str">
        <f>"("&amp;TEXT($F$202,"0.000E+00")&amp;" + "&amp;TEXT($F$203,"0.000E+00")&amp;" ) / 2"</f>
        <v>(-1.810E-04 + -5.856E-05 ) / 2</v>
      </c>
      <c r="J231" s="134" t="s">
        <v>136</v>
      </c>
      <c r="K231" s="193">
        <f>($M$202+$M$203)/2</f>
        <v>-1.32115E-4</v>
      </c>
    </row>
    <row r="232" spans="2:65" x14ac:dyDescent="0.25">
      <c r="C232" s="134" t="s">
        <v>136</v>
      </c>
      <c r="D232" s="193">
        <f>($F$202+$F$203)/2</f>
        <v>-1.1979176683855227E-4</v>
      </c>
    </row>
    <row r="239" spans="2:65" x14ac:dyDescent="0.25">
      <c r="B239" s="25" t="str">
        <f>"Projecting Female Net Migration: "&amp;study.area&amp;", "&amp;launch.year&amp;" to "&amp;launch.year+5</f>
        <v>Projecting Female Net Migration: DeKalb County, 2010 to 2015</v>
      </c>
      <c r="M239" s="25" t="str">
        <f>"Projecting Female Net Migration: "&amp;study.area&amp;", "&amp;launch.year+5&amp;" to "&amp;launch.year+10</f>
        <v>Projecting Female Net Migration: DeKalb County, 2015 to 2020</v>
      </c>
      <c r="Z239" s="25" t="str">
        <f>"Projecting Female Net Migration: "&amp;study.area&amp;", "&amp;launch.year+10&amp;" to "&amp;launch.year+15</f>
        <v>Projecting Female Net Migration: DeKalb County, 2020 to 2025</v>
      </c>
      <c r="AM239" s="25" t="str">
        <f>"Projecting Female Net Migration: "&amp;study.area&amp;", "&amp;launch.year+15&amp;" to "&amp;launch.year+20</f>
        <v>Projecting Female Net Migration: DeKalb County, 2025 to 2030</v>
      </c>
      <c r="AZ239" s="25" t="str">
        <f>"Projecting Female Net Migration: "&amp;study.area&amp;", "&amp;launch.year+20&amp;" to "&amp;launch.year+25</f>
        <v>Projecting Female Net Migration: DeKalb County, 2030 to 2035</v>
      </c>
      <c r="BM239" s="25" t="str">
        <f>"Projecting Female Net Migration: "&amp;study.area&amp;", "&amp;launch.year+25&amp;" to "&amp;launch.year+30</f>
        <v>Projecting Female Net Migration: DeKalb County, 2035 to 2040</v>
      </c>
    </row>
    <row r="241" spans="2:104" ht="45" x14ac:dyDescent="0.25">
      <c r="B241" s="176" t="s">
        <v>6</v>
      </c>
      <c r="C241" s="194" t="s">
        <v>148</v>
      </c>
      <c r="D241" s="176" t="str">
        <f>launch.year&amp;" National Female Population"</f>
        <v>2010 National Female Population</v>
      </c>
      <c r="E241" s="176" t="s">
        <v>140</v>
      </c>
      <c r="F241" s="176" t="s">
        <v>149</v>
      </c>
      <c r="G241" s="195"/>
      <c r="H241" s="195"/>
      <c r="M241" s="176" t="s">
        <v>6</v>
      </c>
      <c r="N241" s="194" t="s">
        <v>148</v>
      </c>
      <c r="O241" s="176" t="str">
        <f>launch.year+5&amp;" National Female Population"</f>
        <v>2015 National Female Population</v>
      </c>
      <c r="P241" s="176" t="s">
        <v>140</v>
      </c>
      <c r="Q241" s="176" t="s">
        <v>149</v>
      </c>
      <c r="S241" s="196"/>
      <c r="T241" s="196"/>
      <c r="U241" s="196"/>
      <c r="V241" s="196"/>
      <c r="W241" s="196"/>
      <c r="X241" s="196"/>
      <c r="Y241" s="196"/>
      <c r="Z241" s="176" t="s">
        <v>6</v>
      </c>
      <c r="AA241" s="194" t="s">
        <v>148</v>
      </c>
      <c r="AB241" s="176" t="str">
        <f>launch.year+10&amp;" National Female Population"</f>
        <v>2020 National Female Population</v>
      </c>
      <c r="AC241" s="176" t="s">
        <v>140</v>
      </c>
      <c r="AD241" s="176" t="s">
        <v>149</v>
      </c>
      <c r="AE241" s="196"/>
      <c r="AF241" s="196"/>
      <c r="AG241" s="196"/>
      <c r="AH241" s="196"/>
      <c r="AI241" s="196"/>
      <c r="AJ241" s="196"/>
      <c r="AK241" s="196"/>
      <c r="AL241" s="196"/>
      <c r="AM241" s="175" t="s">
        <v>6</v>
      </c>
      <c r="AN241" s="194" t="s">
        <v>148</v>
      </c>
      <c r="AO241" s="176" t="str">
        <f>launch.year+15&amp;" National Female Population"</f>
        <v>2025 National Female Population</v>
      </c>
      <c r="AP241" s="176" t="s">
        <v>140</v>
      </c>
      <c r="AQ241" s="176" t="s">
        <v>149</v>
      </c>
      <c r="AR241" s="196"/>
      <c r="AS241" s="196"/>
      <c r="AT241" s="196"/>
      <c r="AU241" s="196"/>
      <c r="AV241" s="196"/>
      <c r="AW241" s="196"/>
      <c r="AX241" s="196"/>
      <c r="AY241" s="196"/>
      <c r="AZ241" s="175" t="s">
        <v>6</v>
      </c>
      <c r="BA241" s="194" t="s">
        <v>148</v>
      </c>
      <c r="BB241" s="176" t="str">
        <f>launch.year+20&amp;" National Female Population"</f>
        <v>2030 National Female Population</v>
      </c>
      <c r="BC241" s="176" t="s">
        <v>140</v>
      </c>
      <c r="BD241" s="176" t="s">
        <v>149</v>
      </c>
      <c r="BE241" s="196"/>
      <c r="BF241" s="196"/>
      <c r="BG241" s="196"/>
      <c r="BH241" s="196"/>
      <c r="BI241" s="196"/>
      <c r="BJ241" s="196"/>
      <c r="BK241" s="196"/>
      <c r="BL241" s="196"/>
      <c r="BM241" s="175" t="s">
        <v>6</v>
      </c>
      <c r="BN241" s="194" t="s">
        <v>148</v>
      </c>
      <c r="BO241" s="176" t="str">
        <f>launch.year+20&amp;" National Female Population"</f>
        <v>2030 National Female Population</v>
      </c>
      <c r="BP241" s="176" t="s">
        <v>140</v>
      </c>
      <c r="BQ241" s="176" t="s">
        <v>149</v>
      </c>
      <c r="BR241" s="196"/>
      <c r="BS241" s="196"/>
      <c r="BT241" s="196"/>
      <c r="BU241" s="196"/>
      <c r="BV241" s="196"/>
      <c r="BW241" s="196"/>
      <c r="BX241" s="196"/>
      <c r="BY241" s="196"/>
      <c r="BZ241" s="196"/>
      <c r="CA241" s="196"/>
      <c r="CB241" s="196"/>
      <c r="CC241" s="196"/>
      <c r="CD241" s="196"/>
      <c r="CE241" s="196"/>
      <c r="CF241" s="196"/>
      <c r="CG241" s="196"/>
      <c r="CH241" s="196"/>
      <c r="CI241" s="196"/>
      <c r="CJ241" s="196"/>
      <c r="CK241" s="196"/>
      <c r="CL241" s="196"/>
      <c r="CM241" s="196"/>
      <c r="CN241" s="196"/>
      <c r="CO241" s="196"/>
      <c r="CP241" s="196"/>
      <c r="CQ241" s="196"/>
      <c r="CR241" s="196"/>
      <c r="CS241" s="196"/>
      <c r="CT241" s="196"/>
      <c r="CU241" s="196"/>
      <c r="CV241" s="196"/>
      <c r="CW241" s="196"/>
      <c r="CX241" s="196"/>
      <c r="CY241" s="196"/>
      <c r="CZ241" s="196"/>
    </row>
    <row r="242" spans="2:104" ht="21" customHeight="1" x14ac:dyDescent="0.25">
      <c r="B242" s="179" t="s">
        <v>31</v>
      </c>
      <c r="C242" s="179"/>
      <c r="D242" s="179" t="str">
        <f>"PNF{n}^"&amp;launch.year</f>
        <v>PNF{n}^2010</v>
      </c>
      <c r="E242" s="179" t="str">
        <f>"nmf{n}^{"&amp;launch.year&amp;","&amp;launch.year+5&amp;"}"</f>
        <v>nmf{n}^{2010,2015}</v>
      </c>
      <c r="F242" s="179" t="str">
        <f>"NMF{n}^{"&amp;launch.year&amp;","&amp;launch.year+5&amp;"}"</f>
        <v>NMF{n}^{2010,2015}</v>
      </c>
      <c r="M242" s="197" t="s">
        <v>31</v>
      </c>
      <c r="N242" s="197"/>
      <c r="O242" s="179" t="str">
        <f>"PNF{n}^"&amp;launch.year+5</f>
        <v>PNF{n}^2015</v>
      </c>
      <c r="P242" s="179" t="str">
        <f>"nmf{n}^{"&amp;launch.year+5&amp;","&amp;launch.year+10&amp;"}"</f>
        <v>nmf{n}^{2015,2020}</v>
      </c>
      <c r="Q242" s="179" t="str">
        <f>"NMF{n}^{"&amp;launch.year+5&amp;","&amp;launch.year+10&amp;"}"</f>
        <v>NMF{n}^{2015,2020}</v>
      </c>
      <c r="S242" s="195"/>
      <c r="T242" s="195"/>
      <c r="U242" s="195"/>
      <c r="V242" s="195"/>
      <c r="W242" s="195"/>
      <c r="X242" s="195"/>
      <c r="Y242" s="195"/>
      <c r="Z242" s="197" t="s">
        <v>31</v>
      </c>
      <c r="AA242" s="197"/>
      <c r="AB242" s="179" t="str">
        <f>"PNF{n}^"&amp;launch.year+10</f>
        <v>PNF{n}^2020</v>
      </c>
      <c r="AC242" s="179" t="str">
        <f>"nmf{n}^{"&amp;launch.year+10&amp;","&amp;launch.year+15&amp;"}"</f>
        <v>nmf{n}^{2020,2025}</v>
      </c>
      <c r="AD242" s="179" t="str">
        <f>"NMF{n}^{"&amp;launch.year+10&amp;","&amp;launch.year+15&amp;"}"</f>
        <v>NMF{n}^{2020,2025}</v>
      </c>
      <c r="AE242" s="195"/>
      <c r="AF242" s="195"/>
      <c r="AG242" s="195"/>
      <c r="AH242" s="195"/>
      <c r="AI242" s="195"/>
      <c r="AJ242" s="195"/>
      <c r="AK242" s="195"/>
      <c r="AL242" s="195"/>
      <c r="AM242" s="197" t="s">
        <v>31</v>
      </c>
      <c r="AN242" s="197"/>
      <c r="AO242" s="179" t="str">
        <f>"PNF{n}^"&amp;launch.year+15</f>
        <v>PNF{n}^2025</v>
      </c>
      <c r="AP242" s="179" t="str">
        <f>"nmf{n}^{"&amp;launch.year+15&amp;","&amp;launch.year+20&amp;"}"</f>
        <v>nmf{n}^{2025,2030}</v>
      </c>
      <c r="AQ242" s="179" t="str">
        <f>"NMF{n}^{"&amp;launch.year+15&amp;","&amp;launch.year+20&amp;"}"</f>
        <v>NMF{n}^{2025,2030}</v>
      </c>
      <c r="AR242" s="195"/>
      <c r="AS242" s="195"/>
      <c r="AT242" s="195"/>
      <c r="AU242" s="195"/>
      <c r="AV242" s="195"/>
      <c r="AW242" s="195"/>
      <c r="AX242" s="195"/>
      <c r="AY242" s="195"/>
      <c r="AZ242" s="197" t="s">
        <v>31</v>
      </c>
      <c r="BA242" s="197"/>
      <c r="BB242" s="179" t="str">
        <f>"PNF{n}^"&amp;launch.year+20</f>
        <v>PNF{n}^2030</v>
      </c>
      <c r="BC242" s="179" t="str">
        <f>"nmf{n}^{"&amp;launch.year+20&amp;","&amp;launch.year+25&amp;"}"</f>
        <v>nmf{n}^{2030,2035}</v>
      </c>
      <c r="BD242" s="179" t="str">
        <f>"NMF{n}^{"&amp;launch.year+20&amp;","&amp;launch.year+25&amp;"}"</f>
        <v>NMF{n}^{2030,2035}</v>
      </c>
      <c r="BE242" s="195"/>
      <c r="BF242" s="195"/>
      <c r="BG242" s="195"/>
      <c r="BH242" s="195"/>
      <c r="BI242" s="195"/>
      <c r="BJ242" s="195"/>
      <c r="BK242" s="195"/>
      <c r="BL242" s="195"/>
      <c r="BM242" s="197" t="s">
        <v>31</v>
      </c>
      <c r="BN242" s="197"/>
      <c r="BO242" s="179" t="str">
        <f>"PNF{n}^"&amp;launch.year+25</f>
        <v>PNF{n}^2035</v>
      </c>
      <c r="BP242" s="179" t="str">
        <f>"nmf{n}^{"&amp;launch.year+25&amp;","&amp;launch.year+30&amp;"}"</f>
        <v>nmf{n}^{2035,2040}</v>
      </c>
      <c r="BQ242" s="179" t="str">
        <f>"NMF{n}^{"&amp;launch.year+25&amp;","&amp;launch.year+30&amp;"}"</f>
        <v>NMF{n}^{2035,2040}</v>
      </c>
      <c r="BR242" s="195"/>
      <c r="BS242" s="195"/>
      <c r="BT242" s="195"/>
      <c r="BU242" s="195"/>
      <c r="BV242" s="195"/>
      <c r="BW242" s="195"/>
      <c r="BX242" s="195"/>
      <c r="BY242" s="195"/>
      <c r="BZ242" s="195"/>
      <c r="CA242" s="195"/>
      <c r="CB242" s="195"/>
      <c r="CC242" s="195"/>
      <c r="CD242" s="195"/>
      <c r="CE242" s="195"/>
      <c r="CF242" s="195"/>
      <c r="CG242" s="195"/>
      <c r="CH242" s="195"/>
      <c r="CI242" s="195"/>
      <c r="CJ242" s="195"/>
      <c r="CK242" s="195"/>
      <c r="CL242" s="195"/>
      <c r="CM242" s="195"/>
      <c r="CN242" s="195"/>
      <c r="CO242" s="195"/>
      <c r="CP242" s="195"/>
      <c r="CQ242" s="195"/>
      <c r="CR242" s="195"/>
      <c r="CS242" s="195"/>
      <c r="CT242" s="195"/>
      <c r="CU242" s="195"/>
      <c r="CV242" s="195"/>
      <c r="CW242" s="195"/>
      <c r="CX242" s="195"/>
      <c r="CY242" s="195"/>
      <c r="CZ242" s="195"/>
    </row>
    <row r="243" spans="2:104" x14ac:dyDescent="0.25">
      <c r="B243" s="180" t="s">
        <v>9</v>
      </c>
      <c r="C243" s="180" t="s">
        <v>10</v>
      </c>
      <c r="D243" s="180" t="s">
        <v>11</v>
      </c>
      <c r="E243" s="180" t="s">
        <v>12</v>
      </c>
      <c r="F243" s="180" t="s">
        <v>13</v>
      </c>
      <c r="M243" s="180" t="s">
        <v>9</v>
      </c>
      <c r="N243" s="180" t="s">
        <v>10</v>
      </c>
      <c r="O243" s="180" t="s">
        <v>11</v>
      </c>
      <c r="P243" s="180" t="s">
        <v>12</v>
      </c>
      <c r="Q243" s="180" t="s">
        <v>13</v>
      </c>
      <c r="Z243" s="180" t="s">
        <v>9</v>
      </c>
      <c r="AA243" s="180" t="s">
        <v>10</v>
      </c>
      <c r="AB243" s="180" t="s">
        <v>11</v>
      </c>
      <c r="AC243" s="180" t="s">
        <v>12</v>
      </c>
      <c r="AD243" s="180" t="s">
        <v>13</v>
      </c>
      <c r="AM243" s="198" t="s">
        <v>9</v>
      </c>
      <c r="AN243" s="198" t="s">
        <v>10</v>
      </c>
      <c r="AO243" s="198" t="s">
        <v>11</v>
      </c>
      <c r="AP243" s="198" t="s">
        <v>12</v>
      </c>
      <c r="AQ243" s="198" t="s">
        <v>13</v>
      </c>
      <c r="AZ243" s="198" t="s">
        <v>9</v>
      </c>
      <c r="BA243" s="198" t="s">
        <v>10</v>
      </c>
      <c r="BB243" s="198" t="s">
        <v>11</v>
      </c>
      <c r="BC243" s="198" t="s">
        <v>12</v>
      </c>
      <c r="BD243" s="198" t="s">
        <v>13</v>
      </c>
      <c r="BM243" s="198" t="s">
        <v>9</v>
      </c>
      <c r="BN243" s="198" t="s">
        <v>10</v>
      </c>
      <c r="BO243" s="198" t="s">
        <v>11</v>
      </c>
      <c r="BP243" s="198" t="s">
        <v>12</v>
      </c>
      <c r="BQ243" s="198" t="s">
        <v>13</v>
      </c>
    </row>
    <row r="244" spans="2:104" x14ac:dyDescent="0.25">
      <c r="B244" s="199">
        <v>1</v>
      </c>
      <c r="C244" s="200" t="s">
        <v>38</v>
      </c>
      <c r="D244" s="181">
        <f>Input!AE11</f>
        <v>9881935</v>
      </c>
      <c r="E244" s="184">
        <f t="shared" ref="E244:E261" si="38">G201</f>
        <v>-1.6134059048340777E-4</v>
      </c>
      <c r="F244" s="201">
        <f t="shared" ref="F244:F261" si="39">D244*E244</f>
        <v>-1594.3572280186543</v>
      </c>
      <c r="M244" s="199">
        <v>1</v>
      </c>
      <c r="N244" s="200" t="s">
        <v>38</v>
      </c>
      <c r="O244" s="181">
        <f>Input!AG11</f>
        <v>9754546</v>
      </c>
      <c r="P244" s="184">
        <f>E244</f>
        <v>-1.6134059048340777E-4</v>
      </c>
      <c r="Q244" s="201">
        <f t="shared" ref="Q244:Q261" si="40">O244*P244</f>
        <v>-1573.8042115375633</v>
      </c>
      <c r="Z244" s="199">
        <v>1</v>
      </c>
      <c r="AA244" s="200" t="s">
        <v>38</v>
      </c>
      <c r="AB244" s="181">
        <f>Input!AI11</f>
        <v>10047493</v>
      </c>
      <c r="AC244" s="184">
        <f t="shared" ref="AC244:AC261" si="41">P244</f>
        <v>-1.6134059048340777E-4</v>
      </c>
      <c r="AD244" s="201">
        <f t="shared" ref="AD244:AD261" si="42">AB244*AC244</f>
        <v>-1621.0684534979061</v>
      </c>
      <c r="AM244" s="199">
        <v>1</v>
      </c>
      <c r="AN244" s="200" t="s">
        <v>38</v>
      </c>
      <c r="AO244" s="181">
        <f>Input!AK11</f>
        <v>10263546</v>
      </c>
      <c r="AP244" s="184">
        <f t="shared" ref="AP244:AP261" si="43">AC244</f>
        <v>-1.6134059048340777E-4</v>
      </c>
      <c r="AQ244" s="201">
        <f t="shared" ref="AQ244:AQ261" si="44">AO244*AP244</f>
        <v>-1655.926572093618</v>
      </c>
      <c r="AZ244" s="199">
        <v>1</v>
      </c>
      <c r="BA244" s="200" t="s">
        <v>38</v>
      </c>
      <c r="BB244" s="181">
        <f>Input!AM11</f>
        <v>10345517</v>
      </c>
      <c r="BC244" s="184">
        <f t="shared" ref="BC244:BC261" si="45">AP244</f>
        <v>-1.6134059048340777E-4</v>
      </c>
      <c r="BD244" s="201">
        <f t="shared" ref="BD244:BD261" si="46">BB244*BC244</f>
        <v>-1669.1518216361333</v>
      </c>
      <c r="BM244" s="199">
        <v>1</v>
      </c>
      <c r="BN244" s="200" t="s">
        <v>38</v>
      </c>
      <c r="BO244" s="181">
        <f>Input!AO11</f>
        <v>10389489</v>
      </c>
      <c r="BP244" s="184">
        <f t="shared" ref="BP244:BP261" si="47">BC244</f>
        <v>-1.6134059048340777E-4</v>
      </c>
      <c r="BQ244" s="201">
        <f t="shared" ref="BQ244:BQ261" si="48">BO244*BP244</f>
        <v>-1676.2462900808698</v>
      </c>
    </row>
    <row r="245" spans="2:104" x14ac:dyDescent="0.25">
      <c r="B245" s="202">
        <v>2</v>
      </c>
      <c r="C245" s="200" t="s">
        <v>39</v>
      </c>
      <c r="D245" s="181">
        <f>Input!AE12</f>
        <v>9959019</v>
      </c>
      <c r="E245" s="184">
        <f t="shared" si="38"/>
        <v>-1.1979176683855227E-4</v>
      </c>
      <c r="F245" s="201">
        <f t="shared" si="39"/>
        <v>-1193.008481988712</v>
      </c>
      <c r="M245" s="202">
        <v>2</v>
      </c>
      <c r="N245" s="200" t="s">
        <v>39</v>
      </c>
      <c r="O245" s="181">
        <f>Input!AG12</f>
        <v>10014756</v>
      </c>
      <c r="P245" s="184">
        <f t="shared" ref="P245:P261" si="49">E245</f>
        <v>-1.1979176683855227E-4</v>
      </c>
      <c r="Q245" s="201">
        <f t="shared" si="40"/>
        <v>-1199.6853156969923</v>
      </c>
      <c r="Z245" s="202">
        <v>2</v>
      </c>
      <c r="AA245" s="200" t="s">
        <v>39</v>
      </c>
      <c r="AB245" s="181">
        <f>Input!AI12</f>
        <v>9913920</v>
      </c>
      <c r="AC245" s="184">
        <f t="shared" si="41"/>
        <v>-1.1979176683855227E-4</v>
      </c>
      <c r="AD245" s="201">
        <f t="shared" si="42"/>
        <v>-1187.60599309606</v>
      </c>
      <c r="AM245" s="202">
        <v>2</v>
      </c>
      <c r="AN245" s="200" t="s">
        <v>39</v>
      </c>
      <c r="AO245" s="181">
        <f>Input!AK12</f>
        <v>10213692</v>
      </c>
      <c r="AP245" s="184">
        <f t="shared" si="43"/>
        <v>-1.1979176683855227E-4</v>
      </c>
      <c r="AQ245" s="201">
        <f t="shared" si="44"/>
        <v>-1223.5162106247867</v>
      </c>
      <c r="AZ245" s="202">
        <v>2</v>
      </c>
      <c r="BA245" s="200" t="s">
        <v>39</v>
      </c>
      <c r="BB245" s="181">
        <f>Input!AM12</f>
        <v>10437372</v>
      </c>
      <c r="BC245" s="184">
        <f t="shared" si="45"/>
        <v>-1.1979176683855227E-4</v>
      </c>
      <c r="BD245" s="201">
        <f t="shared" si="46"/>
        <v>-1250.311233031234</v>
      </c>
      <c r="BM245" s="202">
        <v>2</v>
      </c>
      <c r="BN245" s="200" t="s">
        <v>39</v>
      </c>
      <c r="BO245" s="181">
        <f>Input!AO12</f>
        <v>10526344</v>
      </c>
      <c r="BP245" s="184">
        <f t="shared" si="47"/>
        <v>-1.1979176683855227E-4</v>
      </c>
      <c r="BQ245" s="201">
        <f t="shared" si="48"/>
        <v>-1260.9693461103936</v>
      </c>
    </row>
    <row r="246" spans="2:104" x14ac:dyDescent="0.25">
      <c r="B246" s="202">
        <v>3</v>
      </c>
      <c r="C246" s="200" t="s">
        <v>40</v>
      </c>
      <c r="D246" s="181">
        <f>Input!AE13</f>
        <v>10097332</v>
      </c>
      <c r="E246" s="184">
        <f t="shared" si="38"/>
        <v>-6.1048670149602846E-5</v>
      </c>
      <c r="F246" s="201">
        <f t="shared" si="39"/>
        <v>-616.4286906590296</v>
      </c>
      <c r="M246" s="202">
        <v>3</v>
      </c>
      <c r="N246" s="200" t="s">
        <v>40</v>
      </c>
      <c r="O246" s="181">
        <f>Input!AG13</f>
        <v>10076411</v>
      </c>
      <c r="P246" s="184">
        <f t="shared" si="49"/>
        <v>-6.1048670149602846E-5</v>
      </c>
      <c r="Q246" s="201">
        <f t="shared" si="40"/>
        <v>-615.15149143082976</v>
      </c>
      <c r="Z246" s="202">
        <v>3</v>
      </c>
      <c r="AA246" s="200" t="s">
        <v>40</v>
      </c>
      <c r="AB246" s="181">
        <f>Input!AI13</f>
        <v>10150340</v>
      </c>
      <c r="AC246" s="184">
        <f t="shared" si="41"/>
        <v>-6.1048670149602846E-5</v>
      </c>
      <c r="AD246" s="201">
        <f t="shared" si="42"/>
        <v>-619.66475856631973</v>
      </c>
      <c r="AM246" s="202">
        <v>3</v>
      </c>
      <c r="AN246" s="200" t="s">
        <v>40</v>
      </c>
      <c r="AO246" s="181">
        <f>Input!AK13</f>
        <v>10054927</v>
      </c>
      <c r="AP246" s="184">
        <f t="shared" si="43"/>
        <v>-6.1048670149602846E-5</v>
      </c>
      <c r="AQ246" s="201">
        <f t="shared" si="44"/>
        <v>-613.83992180133566</v>
      </c>
      <c r="AZ246" s="202">
        <v>3</v>
      </c>
      <c r="BA246" s="200" t="s">
        <v>40</v>
      </c>
      <c r="BB246" s="181">
        <f>Input!AM13</f>
        <v>10360741</v>
      </c>
      <c r="BC246" s="184">
        <f t="shared" si="45"/>
        <v>-6.1048670149602846E-5</v>
      </c>
      <c r="BD246" s="201">
        <f t="shared" si="46"/>
        <v>-632.50945981446637</v>
      </c>
      <c r="BM246" s="202">
        <v>3</v>
      </c>
      <c r="BN246" s="200" t="s">
        <v>40</v>
      </c>
      <c r="BO246" s="181">
        <f>Input!AO13</f>
        <v>10589692</v>
      </c>
      <c r="BP246" s="184">
        <f t="shared" si="47"/>
        <v>-6.1048670149602846E-5</v>
      </c>
      <c r="BQ246" s="201">
        <f t="shared" si="48"/>
        <v>-646.48661389388803</v>
      </c>
    </row>
    <row r="247" spans="2:104" x14ac:dyDescent="0.25">
      <c r="B247" s="202">
        <v>4</v>
      </c>
      <c r="C247" s="202" t="s">
        <v>80</v>
      </c>
      <c r="D247" s="181">
        <f>Input!AE14</f>
        <v>10736677</v>
      </c>
      <c r="E247" s="184">
        <f t="shared" si="38"/>
        <v>1.7424124362786609E-4</v>
      </c>
      <c r="F247" s="201">
        <f t="shared" si="39"/>
        <v>1870.7719529107064</v>
      </c>
      <c r="M247" s="202">
        <v>4</v>
      </c>
      <c r="N247" s="202" t="s">
        <v>80</v>
      </c>
      <c r="O247" s="181">
        <f>Input!AG14</f>
        <v>10296599</v>
      </c>
      <c r="P247" s="184">
        <f t="shared" si="49"/>
        <v>1.7424124362786609E-4</v>
      </c>
      <c r="Q247" s="201">
        <f t="shared" si="40"/>
        <v>1794.0922148974423</v>
      </c>
      <c r="Z247" s="202">
        <v>4</v>
      </c>
      <c r="AA247" s="202" t="s">
        <v>80</v>
      </c>
      <c r="AB247" s="181">
        <f>Input!AI14</f>
        <v>10298638</v>
      </c>
      <c r="AC247" s="184">
        <f t="shared" si="41"/>
        <v>1.7424124362786609E-4</v>
      </c>
      <c r="AD247" s="201">
        <f t="shared" si="42"/>
        <v>1794.4474927931997</v>
      </c>
      <c r="AM247" s="202">
        <v>4</v>
      </c>
      <c r="AN247" s="202" t="s">
        <v>80</v>
      </c>
      <c r="AO247" s="181">
        <f>Input!AK14</f>
        <v>10384248</v>
      </c>
      <c r="AP247" s="184">
        <f t="shared" si="43"/>
        <v>1.7424124362786609E-4</v>
      </c>
      <c r="AQ247" s="201">
        <f t="shared" si="44"/>
        <v>1809.3642856601812</v>
      </c>
      <c r="AZ247" s="202">
        <v>4</v>
      </c>
      <c r="BA247" s="202" t="s">
        <v>80</v>
      </c>
      <c r="BB247" s="181">
        <f>Input!AM14</f>
        <v>10298498</v>
      </c>
      <c r="BC247" s="184">
        <f t="shared" si="45"/>
        <v>1.7424124362786609E-4</v>
      </c>
      <c r="BD247" s="201">
        <f t="shared" si="46"/>
        <v>1794.4230990190918</v>
      </c>
      <c r="BM247" s="202">
        <v>4</v>
      </c>
      <c r="BN247" s="202" t="s">
        <v>80</v>
      </c>
      <c r="BO247" s="181">
        <f>Input!AO14</f>
        <v>10612907</v>
      </c>
      <c r="BP247" s="184">
        <f t="shared" si="47"/>
        <v>1.7424124362786609E-4</v>
      </c>
      <c r="BQ247" s="201">
        <f t="shared" si="48"/>
        <v>1849.2061141868855</v>
      </c>
    </row>
    <row r="248" spans="2:104" x14ac:dyDescent="0.25">
      <c r="B248" s="202">
        <v>5</v>
      </c>
      <c r="C248" s="202" t="s">
        <v>81</v>
      </c>
      <c r="D248" s="181">
        <f>Input!AE15</f>
        <v>10571823</v>
      </c>
      <c r="E248" s="184">
        <f t="shared" si="38"/>
        <v>5.3367901741915543E-4</v>
      </c>
      <c r="F248" s="201">
        <f t="shared" si="39"/>
        <v>5641.9601109692276</v>
      </c>
      <c r="M248" s="202">
        <v>5</v>
      </c>
      <c r="N248" s="202" t="s">
        <v>81</v>
      </c>
      <c r="O248" s="181">
        <f>Input!AG15</f>
        <v>11062010</v>
      </c>
      <c r="P248" s="184">
        <f t="shared" si="49"/>
        <v>5.3367901741915543E-4</v>
      </c>
      <c r="Q248" s="201">
        <f t="shared" si="40"/>
        <v>5903.5626274808719</v>
      </c>
      <c r="Z248" s="202">
        <v>5</v>
      </c>
      <c r="AA248" s="202" t="s">
        <v>81</v>
      </c>
      <c r="AB248" s="181">
        <f>Input!AI15</f>
        <v>10759264</v>
      </c>
      <c r="AC248" s="184">
        <f t="shared" si="41"/>
        <v>5.3367901741915543E-4</v>
      </c>
      <c r="AD248" s="201">
        <f t="shared" si="42"/>
        <v>5741.9934396732915</v>
      </c>
      <c r="AM248" s="202">
        <v>5</v>
      </c>
      <c r="AN248" s="202" t="s">
        <v>81</v>
      </c>
      <c r="AO248" s="181">
        <f>Input!AK15</f>
        <v>10787274</v>
      </c>
      <c r="AP248" s="184">
        <f t="shared" si="43"/>
        <v>5.3367901741915543E-4</v>
      </c>
      <c r="AQ248" s="201">
        <f t="shared" si="44"/>
        <v>5756.9417889512024</v>
      </c>
      <c r="AZ248" s="202">
        <v>5</v>
      </c>
      <c r="BA248" s="202" t="s">
        <v>81</v>
      </c>
      <c r="BB248" s="181">
        <f>Input!AM15</f>
        <v>10895017</v>
      </c>
      <c r="BC248" s="184">
        <f t="shared" si="45"/>
        <v>5.3367901741915543E-4</v>
      </c>
      <c r="BD248" s="201">
        <f t="shared" si="46"/>
        <v>5814.4419673249949</v>
      </c>
      <c r="BM248" s="202">
        <v>5</v>
      </c>
      <c r="BN248" s="202" t="s">
        <v>81</v>
      </c>
      <c r="BO248" s="181">
        <f>Input!AO15</f>
        <v>10828365</v>
      </c>
      <c r="BP248" s="184">
        <f t="shared" si="47"/>
        <v>5.3367901741915543E-4</v>
      </c>
      <c r="BQ248" s="201">
        <f t="shared" si="48"/>
        <v>5778.8711934559733</v>
      </c>
    </row>
    <row r="249" spans="2:104" x14ac:dyDescent="0.25">
      <c r="B249" s="202">
        <v>6</v>
      </c>
      <c r="C249" s="202" t="s">
        <v>82</v>
      </c>
      <c r="D249" s="181">
        <f>Input!AE16</f>
        <v>10466258</v>
      </c>
      <c r="E249" s="184">
        <f t="shared" si="38"/>
        <v>2.8903212917589681E-4</v>
      </c>
      <c r="F249" s="201">
        <f t="shared" si="39"/>
        <v>3025.0848342442632</v>
      </c>
      <c r="M249" s="202">
        <v>6</v>
      </c>
      <c r="N249" s="202" t="s">
        <v>82</v>
      </c>
      <c r="O249" s="181">
        <f>Input!AG16</f>
        <v>11026171</v>
      </c>
      <c r="P249" s="184">
        <f t="shared" si="49"/>
        <v>2.8903212917589681E-4</v>
      </c>
      <c r="Q249" s="201">
        <f t="shared" si="40"/>
        <v>3186.9176807875274</v>
      </c>
      <c r="Z249" s="202">
        <v>6</v>
      </c>
      <c r="AA249" s="202" t="s">
        <v>82</v>
      </c>
      <c r="AB249" s="181">
        <f>Input!AI16</f>
        <v>11560715</v>
      </c>
      <c r="AC249" s="184">
        <f t="shared" si="41"/>
        <v>2.8903212917589681E-4</v>
      </c>
      <c r="AD249" s="201">
        <f t="shared" si="42"/>
        <v>3341.4180712457278</v>
      </c>
      <c r="AM249" s="202">
        <v>6</v>
      </c>
      <c r="AN249" s="202" t="s">
        <v>82</v>
      </c>
      <c r="AO249" s="181">
        <f>Input!AK16</f>
        <v>11284479</v>
      </c>
      <c r="AP249" s="184">
        <f t="shared" si="43"/>
        <v>2.8903212917589681E-4</v>
      </c>
      <c r="AQ249" s="201">
        <f t="shared" si="44"/>
        <v>3261.576992010695</v>
      </c>
      <c r="AZ249" s="202">
        <v>6</v>
      </c>
      <c r="BA249" s="202" t="s">
        <v>82</v>
      </c>
      <c r="BB249" s="181">
        <f>Input!AM16</f>
        <v>11338027</v>
      </c>
      <c r="BC249" s="184">
        <f t="shared" si="45"/>
        <v>2.8903212917589681E-4</v>
      </c>
      <c r="BD249" s="201">
        <f t="shared" si="46"/>
        <v>3277.0540844638058</v>
      </c>
      <c r="BM249" s="202">
        <v>6</v>
      </c>
      <c r="BN249" s="202" t="s">
        <v>82</v>
      </c>
      <c r="BO249" s="181">
        <f>Input!AO16</f>
        <v>11468258</v>
      </c>
      <c r="BP249" s="184">
        <f t="shared" si="47"/>
        <v>2.8903212917589681E-4</v>
      </c>
      <c r="BQ249" s="201">
        <f t="shared" si="48"/>
        <v>3314.6950276785119</v>
      </c>
    </row>
    <row r="250" spans="2:104" x14ac:dyDescent="0.25">
      <c r="B250" s="202">
        <v>7</v>
      </c>
      <c r="C250" s="202" t="s">
        <v>83</v>
      </c>
      <c r="D250" s="181">
        <f>Input!AE17</f>
        <v>9965599</v>
      </c>
      <c r="E250" s="184">
        <f t="shared" si="38"/>
        <v>-1.2114088559786399E-4</v>
      </c>
      <c r="F250" s="201">
        <f t="shared" si="39"/>
        <v>-1207.2414883731878</v>
      </c>
      <c r="M250" s="202">
        <v>7</v>
      </c>
      <c r="N250" s="202" t="s">
        <v>83</v>
      </c>
      <c r="O250" s="181">
        <f>Input!AG17</f>
        <v>10752775</v>
      </c>
      <c r="P250" s="184">
        <f t="shared" si="49"/>
        <v>-1.2114088559786399E-4</v>
      </c>
      <c r="Q250" s="201">
        <f t="shared" si="40"/>
        <v>-1302.600686134572</v>
      </c>
      <c r="Z250" s="202">
        <v>7</v>
      </c>
      <c r="AA250" s="202" t="s">
        <v>83</v>
      </c>
      <c r="AB250" s="181">
        <f>Input!AI17</f>
        <v>11386944</v>
      </c>
      <c r="AC250" s="184">
        <f t="shared" si="41"/>
        <v>-1.2114088559786399E-4</v>
      </c>
      <c r="AD250" s="201">
        <f t="shared" si="42"/>
        <v>-1379.4244804132836</v>
      </c>
      <c r="AM250" s="202">
        <v>7</v>
      </c>
      <c r="AN250" s="202" t="s">
        <v>83</v>
      </c>
      <c r="AO250" s="181">
        <f>Input!AK17</f>
        <v>11939865</v>
      </c>
      <c r="AP250" s="184">
        <f t="shared" si="43"/>
        <v>-1.2114088559786399E-4</v>
      </c>
      <c r="AQ250" s="201">
        <f t="shared" si="44"/>
        <v>-1446.4058200189402</v>
      </c>
      <c r="AZ250" s="202">
        <v>7</v>
      </c>
      <c r="BA250" s="202" t="s">
        <v>83</v>
      </c>
      <c r="BB250" s="181">
        <f>Input!AM17</f>
        <v>11683477</v>
      </c>
      <c r="BC250" s="184">
        <f t="shared" si="45"/>
        <v>-1.2114088559786399E-4</v>
      </c>
      <c r="BD250" s="201">
        <f t="shared" si="46"/>
        <v>-1415.3467506422751</v>
      </c>
      <c r="BM250" s="202">
        <v>7</v>
      </c>
      <c r="BN250" s="202" t="s">
        <v>83</v>
      </c>
      <c r="BO250" s="181">
        <f>Input!AO17</f>
        <v>11754879</v>
      </c>
      <c r="BP250" s="184">
        <f t="shared" si="47"/>
        <v>-1.2114088559786399E-4</v>
      </c>
      <c r="BQ250" s="201">
        <f t="shared" si="48"/>
        <v>-1423.9964521557338</v>
      </c>
    </row>
    <row r="251" spans="2:104" x14ac:dyDescent="0.25">
      <c r="B251" s="202">
        <v>8</v>
      </c>
      <c r="C251" s="202" t="s">
        <v>84</v>
      </c>
      <c r="D251" s="181">
        <f>Input!AE18</f>
        <v>10137620</v>
      </c>
      <c r="E251" s="184">
        <f t="shared" si="38"/>
        <v>-1.766654943756894E-4</v>
      </c>
      <c r="F251" s="201">
        <f t="shared" si="39"/>
        <v>-1790.9676490928764</v>
      </c>
      <c r="M251" s="202">
        <v>8</v>
      </c>
      <c r="N251" s="202" t="s">
        <v>84</v>
      </c>
      <c r="O251" s="181">
        <f>Input!AG18</f>
        <v>10165611</v>
      </c>
      <c r="P251" s="184">
        <f t="shared" si="49"/>
        <v>-1.766654943756894E-4</v>
      </c>
      <c r="Q251" s="201">
        <f t="shared" si="40"/>
        <v>-1795.9126929459462</v>
      </c>
      <c r="Z251" s="202">
        <v>8</v>
      </c>
      <c r="AA251" s="202" t="s">
        <v>84</v>
      </c>
      <c r="AB251" s="181">
        <f>Input!AI18</f>
        <v>10961079</v>
      </c>
      <c r="AC251" s="184">
        <f t="shared" si="41"/>
        <v>-1.766654943756894E-4</v>
      </c>
      <c r="AD251" s="201">
        <f t="shared" si="42"/>
        <v>-1936.4444404259871</v>
      </c>
      <c r="AM251" s="202">
        <v>8</v>
      </c>
      <c r="AN251" s="202" t="s">
        <v>84</v>
      </c>
      <c r="AO251" s="181">
        <f>Input!AK18</f>
        <v>11606670</v>
      </c>
      <c r="AP251" s="184">
        <f t="shared" si="43"/>
        <v>-1.766654943756894E-4</v>
      </c>
      <c r="AQ251" s="201">
        <f t="shared" si="44"/>
        <v>-2050.4980936054831</v>
      </c>
      <c r="AZ251" s="202">
        <v>8</v>
      </c>
      <c r="BA251" s="202" t="s">
        <v>84</v>
      </c>
      <c r="BB251" s="181">
        <f>Input!AM18</f>
        <v>12172733</v>
      </c>
      <c r="BC251" s="184">
        <f t="shared" si="45"/>
        <v>-1.766654943756894E-4</v>
      </c>
      <c r="BD251" s="201">
        <f t="shared" si="46"/>
        <v>-2150.5018933482688</v>
      </c>
      <c r="BM251" s="202">
        <v>8</v>
      </c>
      <c r="BN251" s="202" t="s">
        <v>84</v>
      </c>
      <c r="BO251" s="181">
        <f>Input!AO18</f>
        <v>11929331</v>
      </c>
      <c r="BP251" s="184">
        <f t="shared" si="47"/>
        <v>-1.766654943756894E-4</v>
      </c>
      <c r="BQ251" s="201">
        <f t="shared" si="48"/>
        <v>-2107.501158686237</v>
      </c>
    </row>
    <row r="252" spans="2:104" x14ac:dyDescent="0.25">
      <c r="B252" s="202">
        <v>9</v>
      </c>
      <c r="C252" s="202" t="s">
        <v>85</v>
      </c>
      <c r="D252" s="181">
        <f>Input!AE19</f>
        <v>10496987</v>
      </c>
      <c r="E252" s="184">
        <f t="shared" si="38"/>
        <v>-1.6235682080118063E-4</v>
      </c>
      <c r="F252" s="201">
        <f t="shared" si="39"/>
        <v>-1704.2574373113227</v>
      </c>
      <c r="M252" s="202">
        <v>9</v>
      </c>
      <c r="N252" s="202" t="s">
        <v>85</v>
      </c>
      <c r="O252" s="181">
        <f>Input!AG19</f>
        <v>10153392</v>
      </c>
      <c r="P252" s="184">
        <f t="shared" si="49"/>
        <v>-1.6235682080118063E-4</v>
      </c>
      <c r="Q252" s="201">
        <f t="shared" si="40"/>
        <v>-1648.4724454681411</v>
      </c>
      <c r="Z252" s="202">
        <v>9</v>
      </c>
      <c r="AA252" s="202" t="s">
        <v>85</v>
      </c>
      <c r="AB252" s="181">
        <f>Input!AI19</f>
        <v>10295766</v>
      </c>
      <c r="AC252" s="184">
        <f t="shared" si="41"/>
        <v>-1.6235682080118063E-4</v>
      </c>
      <c r="AD252" s="201">
        <f t="shared" si="42"/>
        <v>-1671.5878354728884</v>
      </c>
      <c r="AM252" s="202">
        <v>9</v>
      </c>
      <c r="AN252" s="202" t="s">
        <v>85</v>
      </c>
      <c r="AO252" s="181">
        <f>Input!AK19</f>
        <v>11098116</v>
      </c>
      <c r="AP252" s="184">
        <f t="shared" si="43"/>
        <v>-1.6235682080118063E-4</v>
      </c>
      <c r="AQ252" s="201">
        <f t="shared" si="44"/>
        <v>-1801.8548306427156</v>
      </c>
      <c r="AZ252" s="202">
        <v>9</v>
      </c>
      <c r="BA252" s="202" t="s">
        <v>85</v>
      </c>
      <c r="BB252" s="181">
        <f>Input!AM19</f>
        <v>11754644</v>
      </c>
      <c r="BC252" s="184">
        <f t="shared" si="45"/>
        <v>-1.6235682080118063E-4</v>
      </c>
      <c r="BD252" s="201">
        <f t="shared" si="46"/>
        <v>-1908.4466294896731</v>
      </c>
      <c r="BM252" s="202">
        <v>9</v>
      </c>
      <c r="BN252" s="202" t="s">
        <v>85</v>
      </c>
      <c r="BO252" s="181">
        <f>Input!AO19</f>
        <v>12330205</v>
      </c>
      <c r="BP252" s="184">
        <f t="shared" si="47"/>
        <v>-1.6235682080118063E-4</v>
      </c>
      <c r="BQ252" s="201">
        <f t="shared" si="48"/>
        <v>-2001.8928836268215</v>
      </c>
    </row>
    <row r="253" spans="2:104" x14ac:dyDescent="0.25">
      <c r="B253" s="202">
        <v>10</v>
      </c>
      <c r="C253" s="202" t="s">
        <v>86</v>
      </c>
      <c r="D253" s="181">
        <f>Input!AE20</f>
        <v>11499506</v>
      </c>
      <c r="E253" s="184">
        <f t="shared" si="38"/>
        <v>-9.0081848406010762E-5</v>
      </c>
      <c r="F253" s="201">
        <f t="shared" si="39"/>
        <v>-1035.8967562360112</v>
      </c>
      <c r="M253" s="202">
        <v>10</v>
      </c>
      <c r="N253" s="202" t="s">
        <v>86</v>
      </c>
      <c r="O253" s="181">
        <f>Input!AG20</f>
        <v>10493042</v>
      </c>
      <c r="P253" s="184">
        <f t="shared" si="49"/>
        <v>-9.0081848406010762E-5</v>
      </c>
      <c r="Q253" s="201">
        <f t="shared" si="40"/>
        <v>-945.23261876190395</v>
      </c>
      <c r="Z253" s="202">
        <v>10</v>
      </c>
      <c r="AA253" s="202" t="s">
        <v>86</v>
      </c>
      <c r="AB253" s="181">
        <f>Input!AI20</f>
        <v>10194542</v>
      </c>
      <c r="AC253" s="184">
        <f t="shared" si="41"/>
        <v>-9.0081848406010762E-5</v>
      </c>
      <c r="AD253" s="201">
        <f t="shared" si="42"/>
        <v>-918.34318701270979</v>
      </c>
      <c r="AM253" s="202">
        <v>10</v>
      </c>
      <c r="AN253" s="202" t="s">
        <v>86</v>
      </c>
      <c r="AO253" s="181">
        <f>Input!AK20</f>
        <v>10347415</v>
      </c>
      <c r="AP253" s="184">
        <f t="shared" si="43"/>
        <v>-9.0081848406010762E-5</v>
      </c>
      <c r="AQ253" s="201">
        <f t="shared" si="44"/>
        <v>-932.11426942408184</v>
      </c>
      <c r="AZ253" s="202">
        <v>10</v>
      </c>
      <c r="BA253" s="202" t="s">
        <v>86</v>
      </c>
      <c r="BB253" s="181">
        <f>Input!AM20</f>
        <v>11156791</v>
      </c>
      <c r="BC253" s="184">
        <f t="shared" si="45"/>
        <v>-9.0081848406010762E-5</v>
      </c>
      <c r="BD253" s="201">
        <f t="shared" si="46"/>
        <v>-1005.0243555595453</v>
      </c>
      <c r="BM253" s="202">
        <v>10</v>
      </c>
      <c r="BN253" s="202" t="s">
        <v>86</v>
      </c>
      <c r="BO253" s="181">
        <f>Input!AO20</f>
        <v>11821867</v>
      </c>
      <c r="BP253" s="184">
        <f t="shared" si="47"/>
        <v>-9.0081848406010762E-5</v>
      </c>
      <c r="BQ253" s="201">
        <f t="shared" si="48"/>
        <v>-1064.9356309700213</v>
      </c>
    </row>
    <row r="254" spans="2:104" x14ac:dyDescent="0.25">
      <c r="B254" s="202">
        <v>11</v>
      </c>
      <c r="C254" s="202" t="s">
        <v>87</v>
      </c>
      <c r="D254" s="181">
        <f>Input!AE21</f>
        <v>11364851</v>
      </c>
      <c r="E254" s="184">
        <f t="shared" si="38"/>
        <v>-7.2231477036618398E-5</v>
      </c>
      <c r="F254" s="201">
        <f t="shared" si="39"/>
        <v>-820.89997403108964</v>
      </c>
      <c r="M254" s="202">
        <v>11</v>
      </c>
      <c r="N254" s="202" t="s">
        <v>87</v>
      </c>
      <c r="O254" s="181">
        <f>Input!AG21</f>
        <v>11356045</v>
      </c>
      <c r="P254" s="184">
        <f t="shared" si="49"/>
        <v>-7.2231477036618398E-5</v>
      </c>
      <c r="Q254" s="201">
        <f t="shared" si="40"/>
        <v>-820.26390364430517</v>
      </c>
      <c r="Z254" s="202">
        <v>11</v>
      </c>
      <c r="AA254" s="202" t="s">
        <v>87</v>
      </c>
      <c r="AB254" s="181">
        <f>Input!AI21</f>
        <v>10455898</v>
      </c>
      <c r="AC254" s="184">
        <f t="shared" si="41"/>
        <v>-7.2231477036618398E-5</v>
      </c>
      <c r="AD254" s="201">
        <f t="shared" si="42"/>
        <v>-755.24495628422426</v>
      </c>
      <c r="AM254" s="202">
        <v>11</v>
      </c>
      <c r="AN254" s="202" t="s">
        <v>87</v>
      </c>
      <c r="AO254" s="181">
        <f>Input!AK21</f>
        <v>10173569</v>
      </c>
      <c r="AP254" s="184">
        <f t="shared" si="43"/>
        <v>-7.2231477036618398E-5</v>
      </c>
      <c r="AQ254" s="201">
        <f t="shared" si="44"/>
        <v>-734.85191560395276</v>
      </c>
      <c r="AZ254" s="202">
        <v>11</v>
      </c>
      <c r="BA254" s="202" t="s">
        <v>87</v>
      </c>
      <c r="BB254" s="181">
        <f>Input!AM21</f>
        <v>10341709</v>
      </c>
      <c r="BC254" s="184">
        <f t="shared" si="45"/>
        <v>-7.2231477036618398E-5</v>
      </c>
      <c r="BD254" s="201">
        <f t="shared" si="46"/>
        <v>-746.99691615288987</v>
      </c>
      <c r="BM254" s="202">
        <v>11</v>
      </c>
      <c r="BN254" s="202" t="s">
        <v>87</v>
      </c>
      <c r="BO254" s="181">
        <f>Input!AO21</f>
        <v>11157103</v>
      </c>
      <c r="BP254" s="184">
        <f t="shared" si="47"/>
        <v>-7.2231477036618398E-5</v>
      </c>
      <c r="BQ254" s="201">
        <f t="shared" si="48"/>
        <v>-805.89402913968627</v>
      </c>
    </row>
    <row r="255" spans="2:104" x14ac:dyDescent="0.25">
      <c r="B255" s="202">
        <v>12</v>
      </c>
      <c r="C255" s="202" t="s">
        <v>88</v>
      </c>
      <c r="D255" s="181">
        <f>Input!AE22</f>
        <v>10141157</v>
      </c>
      <c r="E255" s="184">
        <f t="shared" si="38"/>
        <v>-1.1550004312989943E-4</v>
      </c>
      <c r="F255" s="201">
        <f t="shared" si="39"/>
        <v>-1171.3040708870815</v>
      </c>
      <c r="M255" s="202">
        <v>12</v>
      </c>
      <c r="N255" s="202" t="s">
        <v>88</v>
      </c>
      <c r="O255" s="181">
        <f>Input!AG22</f>
        <v>11210496</v>
      </c>
      <c r="P255" s="184">
        <f t="shared" si="49"/>
        <v>-1.1550004312989943E-4</v>
      </c>
      <c r="Q255" s="201">
        <f t="shared" si="40"/>
        <v>-1294.812771507565</v>
      </c>
      <c r="Z255" s="202">
        <v>12</v>
      </c>
      <c r="AA255" s="202" t="s">
        <v>88</v>
      </c>
      <c r="AB255" s="181">
        <f>Input!AI22</f>
        <v>11227967</v>
      </c>
      <c r="AC255" s="184">
        <f t="shared" si="41"/>
        <v>-1.1550004312989943E-4</v>
      </c>
      <c r="AD255" s="201">
        <f t="shared" si="42"/>
        <v>-1296.8306727610875</v>
      </c>
      <c r="AM255" s="202">
        <v>12</v>
      </c>
      <c r="AN255" s="202" t="s">
        <v>88</v>
      </c>
      <c r="AO255" s="181">
        <f>Input!AK22</f>
        <v>10364728</v>
      </c>
      <c r="AP255" s="184">
        <f t="shared" si="43"/>
        <v>-1.1550004312989943E-4</v>
      </c>
      <c r="AQ255" s="201">
        <f t="shared" si="44"/>
        <v>-1197.1265310296762</v>
      </c>
      <c r="AZ255" s="202">
        <v>12</v>
      </c>
      <c r="BA255" s="202" t="s">
        <v>88</v>
      </c>
      <c r="BB255" s="181">
        <f>Input!AM22</f>
        <v>10105515</v>
      </c>
      <c r="BC255" s="184">
        <f t="shared" si="45"/>
        <v>-1.1550004312989943E-4</v>
      </c>
      <c r="BD255" s="201">
        <f t="shared" si="46"/>
        <v>-1167.1874183498458</v>
      </c>
      <c r="BM255" s="202">
        <v>12</v>
      </c>
      <c r="BN255" s="202" t="s">
        <v>88</v>
      </c>
      <c r="BO255" s="181">
        <f>Input!AO22</f>
        <v>10290735</v>
      </c>
      <c r="BP255" s="184">
        <f t="shared" si="47"/>
        <v>-1.1550004312989943E-4</v>
      </c>
      <c r="BQ255" s="201">
        <f t="shared" si="48"/>
        <v>-1188.5803363383657</v>
      </c>
    </row>
    <row r="256" spans="2:104" x14ac:dyDescent="0.25">
      <c r="B256" s="202">
        <v>13</v>
      </c>
      <c r="C256" s="202" t="s">
        <v>89</v>
      </c>
      <c r="D256" s="181">
        <f>Input!AE23</f>
        <v>8740424</v>
      </c>
      <c r="E256" s="184">
        <f t="shared" si="38"/>
        <v>-1.0720649236099384E-4</v>
      </c>
      <c r="F256" s="201">
        <f t="shared" si="39"/>
        <v>-937.03019878784721</v>
      </c>
      <c r="M256" s="202">
        <v>13</v>
      </c>
      <c r="N256" s="202" t="s">
        <v>89</v>
      </c>
      <c r="O256" s="181">
        <f>Input!AG23</f>
        <v>9961705</v>
      </c>
      <c r="P256" s="184">
        <f t="shared" si="49"/>
        <v>-1.0720649236099384E-4</v>
      </c>
      <c r="Q256" s="201">
        <f t="shared" si="40"/>
        <v>-1067.9594509849742</v>
      </c>
      <c r="Z256" s="202">
        <v>13</v>
      </c>
      <c r="AA256" s="202" t="s">
        <v>89</v>
      </c>
      <c r="AB256" s="181">
        <f>Input!AI23</f>
        <v>10993354</v>
      </c>
      <c r="AC256" s="184">
        <f t="shared" si="41"/>
        <v>-1.0720649236099384E-4</v>
      </c>
      <c r="AD256" s="201">
        <f t="shared" si="42"/>
        <v>-1178.5589216227011</v>
      </c>
      <c r="AM256" s="202">
        <v>13</v>
      </c>
      <c r="AN256" s="202" t="s">
        <v>89</v>
      </c>
      <c r="AO256" s="181">
        <f>Input!AK23</f>
        <v>11035928</v>
      </c>
      <c r="AP256" s="184">
        <f t="shared" si="43"/>
        <v>-1.0720649236099384E-4</v>
      </c>
      <c r="AQ256" s="201">
        <f t="shared" si="44"/>
        <v>-1183.123130828478</v>
      </c>
      <c r="AZ256" s="202">
        <v>13</v>
      </c>
      <c r="BA256" s="202" t="s">
        <v>89</v>
      </c>
      <c r="BB256" s="181">
        <f>Input!AM23</f>
        <v>10221373</v>
      </c>
      <c r="BC256" s="184">
        <f t="shared" si="45"/>
        <v>-1.0720649236099384E-4</v>
      </c>
      <c r="BD256" s="201">
        <f t="shared" si="46"/>
        <v>-1095.7975464433687</v>
      </c>
      <c r="BM256" s="202">
        <v>13</v>
      </c>
      <c r="BN256" s="202" t="s">
        <v>89</v>
      </c>
      <c r="BO256" s="181">
        <f>Input!AO23</f>
        <v>9989444</v>
      </c>
      <c r="BP256" s="184">
        <f t="shared" si="47"/>
        <v>-1.0720649236099384E-4</v>
      </c>
      <c r="BQ256" s="201">
        <f t="shared" si="48"/>
        <v>-1070.9332518765757</v>
      </c>
    </row>
    <row r="257" spans="2:84" x14ac:dyDescent="0.25">
      <c r="B257" s="202">
        <v>14</v>
      </c>
      <c r="C257" s="202" t="s">
        <v>90</v>
      </c>
      <c r="D257" s="181">
        <f>Input!AE24</f>
        <v>6582716</v>
      </c>
      <c r="E257" s="184">
        <f t="shared" si="38"/>
        <v>-7.4827383097317995E-5</v>
      </c>
      <c r="F257" s="201">
        <f t="shared" si="39"/>
        <v>-492.56741195284474</v>
      </c>
      <c r="M257" s="202">
        <v>14</v>
      </c>
      <c r="N257" s="202" t="s">
        <v>90</v>
      </c>
      <c r="O257" s="181">
        <f>Input!AG24</f>
        <v>8482349</v>
      </c>
      <c r="P257" s="184">
        <f t="shared" si="49"/>
        <v>-7.4827383097317995E-5</v>
      </c>
      <c r="Q257" s="201">
        <f t="shared" si="40"/>
        <v>-634.71197818815222</v>
      </c>
      <c r="Z257" s="202">
        <v>14</v>
      </c>
      <c r="AA257" s="202" t="s">
        <v>90</v>
      </c>
      <c r="AB257" s="181">
        <f>Input!AI24</f>
        <v>9626174</v>
      </c>
      <c r="AC257" s="184">
        <f t="shared" si="41"/>
        <v>-7.4827383097317995E-5</v>
      </c>
      <c r="AD257" s="201">
        <f t="shared" si="42"/>
        <v>-720.3014096594419</v>
      </c>
      <c r="AM257" s="202">
        <v>14</v>
      </c>
      <c r="AN257" s="202" t="s">
        <v>90</v>
      </c>
      <c r="AO257" s="181">
        <f>Input!AK24</f>
        <v>10646349</v>
      </c>
      <c r="AP257" s="184">
        <f t="shared" si="43"/>
        <v>-7.4827383097317995E-5</v>
      </c>
      <c r="AQ257" s="201">
        <f t="shared" si="44"/>
        <v>-796.6384352107483</v>
      </c>
      <c r="AZ257" s="202">
        <v>14</v>
      </c>
      <c r="BA257" s="202" t="s">
        <v>90</v>
      </c>
      <c r="BB257" s="181">
        <f>Input!AM24</f>
        <v>10720616</v>
      </c>
      <c r="BC257" s="184">
        <f t="shared" si="45"/>
        <v>-7.4827383097317995E-5</v>
      </c>
      <c r="BD257" s="201">
        <f t="shared" si="46"/>
        <v>-802.19564047123686</v>
      </c>
      <c r="BM257" s="202">
        <v>14</v>
      </c>
      <c r="BN257" s="202" t="s">
        <v>90</v>
      </c>
      <c r="BO257" s="181">
        <f>Input!AO24</f>
        <v>9966664</v>
      </c>
      <c r="BP257" s="184">
        <f t="shared" si="47"/>
        <v>-7.4827383097317995E-5</v>
      </c>
      <c r="BQ257" s="201">
        <f t="shared" si="48"/>
        <v>-745.77938533024781</v>
      </c>
    </row>
    <row r="258" spans="2:84" x14ac:dyDescent="0.25">
      <c r="B258" s="202">
        <v>15</v>
      </c>
      <c r="C258" s="202" t="s">
        <v>91</v>
      </c>
      <c r="D258" s="181">
        <f>Input!AE25</f>
        <v>5034194</v>
      </c>
      <c r="E258" s="184">
        <f t="shared" si="38"/>
        <v>-5.7664034423719404E-5</v>
      </c>
      <c r="F258" s="201">
        <f t="shared" si="39"/>
        <v>-290.29193611168171</v>
      </c>
      <c r="M258" s="202">
        <v>15</v>
      </c>
      <c r="N258" s="202" t="s">
        <v>91</v>
      </c>
      <c r="O258" s="181">
        <f>Input!AG25</f>
        <v>6193493</v>
      </c>
      <c r="P258" s="184">
        <f t="shared" si="49"/>
        <v>-5.7664034423719404E-5</v>
      </c>
      <c r="Q258" s="201">
        <f t="shared" si="40"/>
        <v>-357.14179355506519</v>
      </c>
      <c r="Z258" s="202">
        <v>15</v>
      </c>
      <c r="AA258" s="202" t="s">
        <v>91</v>
      </c>
      <c r="AB258" s="181">
        <f>Input!AI25</f>
        <v>7981849</v>
      </c>
      <c r="AC258" s="184">
        <f t="shared" si="41"/>
        <v>-5.7664034423719404E-5</v>
      </c>
      <c r="AD258" s="201">
        <f t="shared" si="42"/>
        <v>-460.26561550093032</v>
      </c>
      <c r="AM258" s="202">
        <v>15</v>
      </c>
      <c r="AN258" s="202" t="s">
        <v>91</v>
      </c>
      <c r="AO258" s="181">
        <f>Input!AK25</f>
        <v>9087764</v>
      </c>
      <c r="AP258" s="184">
        <f t="shared" si="43"/>
        <v>-5.7664034423719404E-5</v>
      </c>
      <c r="AQ258" s="201">
        <f t="shared" si="44"/>
        <v>-524.03713613063792</v>
      </c>
      <c r="AZ258" s="202">
        <v>15</v>
      </c>
      <c r="BA258" s="202" t="s">
        <v>91</v>
      </c>
      <c r="BB258" s="181">
        <f>Input!AM25</f>
        <v>10082974</v>
      </c>
      <c r="BC258" s="184">
        <f t="shared" si="45"/>
        <v>-5.7664034423719404E-5</v>
      </c>
      <c r="BD258" s="201">
        <f t="shared" si="46"/>
        <v>-581.42495982946775</v>
      </c>
      <c r="BM258" s="202">
        <v>15</v>
      </c>
      <c r="BN258" s="202" t="s">
        <v>91</v>
      </c>
      <c r="BO258" s="181">
        <f>Input!AO25</f>
        <v>10189428</v>
      </c>
      <c r="BP258" s="184">
        <f t="shared" si="47"/>
        <v>-5.7664034423719404E-5</v>
      </c>
      <c r="BQ258" s="201">
        <f t="shared" si="48"/>
        <v>-587.56352695001033</v>
      </c>
    </row>
    <row r="259" spans="2:84" x14ac:dyDescent="0.25">
      <c r="B259" s="202">
        <v>16</v>
      </c>
      <c r="C259" s="202" t="s">
        <v>92</v>
      </c>
      <c r="D259" s="181">
        <f>Input!AE26</f>
        <v>4135407</v>
      </c>
      <c r="E259" s="184">
        <f t="shared" si="38"/>
        <v>-3.1690592660174561E-5</v>
      </c>
      <c r="F259" s="201">
        <f t="shared" si="39"/>
        <v>-131.05349872103452</v>
      </c>
      <c r="M259" s="202">
        <v>16</v>
      </c>
      <c r="N259" s="202" t="s">
        <v>92</v>
      </c>
      <c r="O259" s="181">
        <f>Input!AG26</f>
        <v>4511747</v>
      </c>
      <c r="P259" s="184">
        <f t="shared" si="49"/>
        <v>-3.1690592660174561E-5</v>
      </c>
      <c r="Q259" s="201">
        <f t="shared" si="40"/>
        <v>-142.97993636276459</v>
      </c>
      <c r="Z259" s="202">
        <v>16</v>
      </c>
      <c r="AA259" s="202" t="s">
        <v>92</v>
      </c>
      <c r="AB259" s="181">
        <f>Input!AI26</f>
        <v>5574409</v>
      </c>
      <c r="AC259" s="184">
        <f t="shared" si="41"/>
        <v>-3.1690592660174561E-5</v>
      </c>
      <c r="AD259" s="201">
        <f t="shared" si="42"/>
        <v>-176.65632494021102</v>
      </c>
      <c r="AM259" s="202">
        <v>16</v>
      </c>
      <c r="AN259" s="202" t="s">
        <v>92</v>
      </c>
      <c r="AO259" s="181">
        <f>Input!AK26</f>
        <v>7216219</v>
      </c>
      <c r="AP259" s="184">
        <f t="shared" si="43"/>
        <v>-3.1690592660174561E-5</v>
      </c>
      <c r="AQ259" s="201">
        <f t="shared" si="44"/>
        <v>-228.6862568756122</v>
      </c>
      <c r="AZ259" s="202">
        <v>16</v>
      </c>
      <c r="BA259" s="202" t="s">
        <v>92</v>
      </c>
      <c r="BB259" s="181">
        <f>Input!AM26</f>
        <v>8253241</v>
      </c>
      <c r="BC259" s="184">
        <f t="shared" si="45"/>
        <v>-3.1690592660174561E-5</v>
      </c>
      <c r="BD259" s="201">
        <f t="shared" si="46"/>
        <v>-261.55009865725174</v>
      </c>
      <c r="BM259" s="202">
        <v>16</v>
      </c>
      <c r="BN259" s="202" t="s">
        <v>92</v>
      </c>
      <c r="BO259" s="181">
        <f>Input!AO26</f>
        <v>9195674</v>
      </c>
      <c r="BP259" s="184">
        <f t="shared" si="47"/>
        <v>-3.1690592660174561E-5</v>
      </c>
      <c r="BQ259" s="201">
        <f t="shared" si="48"/>
        <v>-291.41635896975805</v>
      </c>
    </row>
    <row r="260" spans="2:84" x14ac:dyDescent="0.25">
      <c r="B260" s="202">
        <v>17</v>
      </c>
      <c r="C260" s="202" t="s">
        <v>93</v>
      </c>
      <c r="D260" s="181">
        <f>Input!AE27</f>
        <v>3448953</v>
      </c>
      <c r="E260" s="184">
        <f t="shared" si="38"/>
        <v>-5.8965158941967737E-5</v>
      </c>
      <c r="F260" s="201">
        <f t="shared" si="39"/>
        <v>-203.36806182837645</v>
      </c>
      <c r="M260" s="202">
        <v>17</v>
      </c>
      <c r="N260" s="202" t="s">
        <v>93</v>
      </c>
      <c r="O260" s="181">
        <f>Input!AG27</f>
        <v>3389018</v>
      </c>
      <c r="P260" s="184">
        <f t="shared" si="49"/>
        <v>-5.8965158941967737E-5</v>
      </c>
      <c r="Q260" s="201">
        <f t="shared" si="40"/>
        <v>-199.83398502718961</v>
      </c>
      <c r="Z260" s="202">
        <v>17</v>
      </c>
      <c r="AA260" s="202" t="s">
        <v>93</v>
      </c>
      <c r="AB260" s="181">
        <f>Input!AI27</f>
        <v>3744029</v>
      </c>
      <c r="AC260" s="184">
        <f t="shared" si="41"/>
        <v>-5.8965158941967737E-5</v>
      </c>
      <c r="AD260" s="201">
        <f t="shared" si="42"/>
        <v>-220.76726506833651</v>
      </c>
      <c r="AM260" s="202">
        <v>17</v>
      </c>
      <c r="AN260" s="202" t="s">
        <v>93</v>
      </c>
      <c r="AO260" s="181">
        <f>Input!AK27</f>
        <v>4661677</v>
      </c>
      <c r="AP260" s="184">
        <f t="shared" si="43"/>
        <v>-5.8965158941967737E-5</v>
      </c>
      <c r="AQ260" s="201">
        <f t="shared" si="44"/>
        <v>-274.87652524111536</v>
      </c>
      <c r="AZ260" s="202">
        <v>17</v>
      </c>
      <c r="BA260" s="202" t="s">
        <v>93</v>
      </c>
      <c r="BB260" s="181">
        <f>Input!AM27</f>
        <v>6076128</v>
      </c>
      <c r="BC260" s="184">
        <f t="shared" si="45"/>
        <v>-5.8965158941967737E-5</v>
      </c>
      <c r="BD260" s="201">
        <f t="shared" si="46"/>
        <v>-358.27985327174054</v>
      </c>
      <c r="BM260" s="202">
        <v>17</v>
      </c>
      <c r="BN260" s="202" t="s">
        <v>93</v>
      </c>
      <c r="BO260" s="181">
        <f>Input!AO27</f>
        <v>6991909</v>
      </c>
      <c r="BP260" s="184">
        <f t="shared" si="47"/>
        <v>-5.8965158941967737E-5</v>
      </c>
      <c r="BQ260" s="201">
        <f t="shared" si="48"/>
        <v>-412.27902549277468</v>
      </c>
    </row>
    <row r="261" spans="2:84" x14ac:dyDescent="0.25">
      <c r="B261" s="202">
        <v>18</v>
      </c>
      <c r="C261" s="202" t="s">
        <v>119</v>
      </c>
      <c r="D261" s="181">
        <f>Input!AE28</f>
        <v>3703754</v>
      </c>
      <c r="E261" s="184">
        <f t="shared" si="38"/>
        <v>-1.0432518683902377E-4</v>
      </c>
      <c r="F261" s="201">
        <f t="shared" si="39"/>
        <v>-386.39482805578166</v>
      </c>
      <c r="M261" s="202">
        <v>18</v>
      </c>
      <c r="N261" s="202" t="s">
        <v>119</v>
      </c>
      <c r="O261" s="181">
        <f>Input!AG28</f>
        <v>4123660</v>
      </c>
      <c r="P261" s="184">
        <f t="shared" si="49"/>
        <v>-1.0432518683902377E-4</v>
      </c>
      <c r="Q261" s="201">
        <f t="shared" si="40"/>
        <v>-430.20159996060875</v>
      </c>
      <c r="Z261" s="202">
        <v>18</v>
      </c>
      <c r="AA261" s="202" t="s">
        <v>119</v>
      </c>
      <c r="AB261" s="181">
        <f>Input!AI28</f>
        <v>4294658</v>
      </c>
      <c r="AC261" s="184">
        <f t="shared" si="41"/>
        <v>-1.0432518683902377E-4</v>
      </c>
      <c r="AD261" s="201">
        <f t="shared" si="42"/>
        <v>-448.04099825970815</v>
      </c>
      <c r="AM261" s="202">
        <v>18</v>
      </c>
      <c r="AN261" s="202" t="s">
        <v>119</v>
      </c>
      <c r="AO261" s="181">
        <f>Input!AK28</f>
        <v>4679658</v>
      </c>
      <c r="AP261" s="184">
        <f t="shared" si="43"/>
        <v>-1.0432518683902377E-4</v>
      </c>
      <c r="AQ261" s="201">
        <f t="shared" si="44"/>
        <v>-488.20619519273231</v>
      </c>
      <c r="AZ261" s="202">
        <v>18</v>
      </c>
      <c r="BA261" s="202" t="s">
        <v>119</v>
      </c>
      <c r="BB261" s="181">
        <f>Input!AM28</f>
        <v>5629408</v>
      </c>
      <c r="BC261" s="184">
        <f t="shared" si="45"/>
        <v>-1.0432518683902377E-4</v>
      </c>
      <c r="BD261" s="201">
        <f t="shared" si="46"/>
        <v>-587.28904139309509</v>
      </c>
      <c r="BM261" s="202">
        <v>18</v>
      </c>
      <c r="BN261" s="202" t="s">
        <v>119</v>
      </c>
      <c r="BO261" s="181">
        <f>Input!AO28</f>
        <v>7275426</v>
      </c>
      <c r="BP261" s="184">
        <f t="shared" si="47"/>
        <v>-1.0432518683902377E-4</v>
      </c>
      <c r="BQ261" s="201">
        <f t="shared" si="48"/>
        <v>-759.01017678349137</v>
      </c>
    </row>
    <row r="262" spans="2:84" x14ac:dyDescent="0.25">
      <c r="B262" s="190" t="s">
        <v>143</v>
      </c>
      <c r="C262" s="191" t="s">
        <v>17</v>
      </c>
      <c r="D262" s="203">
        <f>SUM(D244:D261)</f>
        <v>156964212</v>
      </c>
      <c r="E262" s="190" t="s">
        <v>143</v>
      </c>
      <c r="F262" s="204">
        <f>SUM(F244:F261)</f>
        <v>-3037.250813931335</v>
      </c>
      <c r="M262" s="190" t="s">
        <v>143</v>
      </c>
      <c r="N262" s="191" t="s">
        <v>17</v>
      </c>
      <c r="O262" s="169">
        <f>SUM(O244:O261)</f>
        <v>163023826</v>
      </c>
      <c r="P262" s="190" t="s">
        <v>143</v>
      </c>
      <c r="Q262" s="204">
        <f>SUM(Q244:Q261)</f>
        <v>-3144.192358040732</v>
      </c>
      <c r="Z262" s="190" t="s">
        <v>143</v>
      </c>
      <c r="AA262" s="191" t="s">
        <v>17</v>
      </c>
      <c r="AB262" s="169">
        <f>SUM(AB244:AB261)</f>
        <v>169467039</v>
      </c>
      <c r="AC262" s="190" t="s">
        <v>143</v>
      </c>
      <c r="AD262" s="204">
        <f>SUM(AD244:AD261)</f>
        <v>-3712.9463088695752</v>
      </c>
      <c r="AM262" s="190" t="s">
        <v>143</v>
      </c>
      <c r="AN262" s="191" t="s">
        <v>17</v>
      </c>
      <c r="AO262" s="169">
        <f>SUM(AO244:AO261)</f>
        <v>175846124</v>
      </c>
      <c r="AP262" s="190" t="s">
        <v>143</v>
      </c>
      <c r="AQ262" s="204">
        <f>SUM(AQ244:AQ261)</f>
        <v>-4323.8187777018356</v>
      </c>
      <c r="AZ262" s="190" t="s">
        <v>143</v>
      </c>
      <c r="BA262" s="191" t="s">
        <v>17</v>
      </c>
      <c r="BB262" s="169">
        <f>SUM(BB244:BB261)</f>
        <v>181873781</v>
      </c>
      <c r="BC262" s="190" t="s">
        <v>143</v>
      </c>
      <c r="BD262" s="204">
        <f>SUM(BD244:BD261)</f>
        <v>-4746.0944672825999</v>
      </c>
      <c r="BM262" s="190" t="s">
        <v>143</v>
      </c>
      <c r="BN262" s="191" t="s">
        <v>17</v>
      </c>
      <c r="BO262" s="169">
        <f>SUM(BO244:BO261)</f>
        <v>187307720</v>
      </c>
      <c r="BP262" s="190" t="s">
        <v>143</v>
      </c>
      <c r="BQ262" s="204">
        <f>SUM(BQ244:BQ261)</f>
        <v>-5100.7121310835055</v>
      </c>
    </row>
    <row r="263" spans="2:84" x14ac:dyDescent="0.25">
      <c r="N263" s="205"/>
      <c r="O263" s="206"/>
      <c r="P263" s="37"/>
      <c r="Q263" s="205"/>
      <c r="R263" s="207"/>
      <c r="Z263" s="205"/>
      <c r="AA263" s="206"/>
      <c r="AB263" s="37"/>
      <c r="AC263" s="205"/>
      <c r="AD263" s="207"/>
      <c r="AK263" s="205"/>
      <c r="AL263" s="206"/>
      <c r="AM263" s="37"/>
      <c r="AN263" s="205"/>
      <c r="AO263" s="207"/>
      <c r="AV263" s="205"/>
      <c r="AW263" s="206"/>
      <c r="AX263" s="37"/>
      <c r="AY263" s="205"/>
      <c r="AZ263" s="207"/>
      <c r="BG263" s="205"/>
      <c r="BH263" s="206"/>
      <c r="BI263" s="37"/>
      <c r="BJ263" s="205"/>
      <c r="BK263" s="207"/>
    </row>
    <row r="264" spans="2:84" x14ac:dyDescent="0.25">
      <c r="N264" s="205"/>
      <c r="O264" s="206"/>
      <c r="P264" s="37"/>
      <c r="Q264" s="205"/>
      <c r="R264" s="207"/>
      <c r="Z264" s="205"/>
      <c r="AA264" s="206"/>
      <c r="AB264" s="37"/>
      <c r="AC264" s="205"/>
      <c r="AD264" s="207"/>
      <c r="AK264" s="205"/>
      <c r="AL264" s="206"/>
      <c r="AM264" s="37"/>
      <c r="AN264" s="205"/>
      <c r="AO264" s="207"/>
      <c r="AV264" s="205"/>
      <c r="AW264" s="206"/>
      <c r="AX264" s="37"/>
      <c r="AY264" s="205"/>
      <c r="AZ264" s="207"/>
      <c r="BG264" s="205"/>
      <c r="BH264" s="206"/>
      <c r="BI264" s="37"/>
      <c r="BJ264" s="205"/>
      <c r="BK264" s="207"/>
    </row>
    <row r="265" spans="2:84" x14ac:dyDescent="0.25">
      <c r="C265" s="133" t="s">
        <v>135</v>
      </c>
      <c r="N265" s="205"/>
      <c r="O265" s="206"/>
      <c r="P265" s="37"/>
      <c r="Q265" s="205"/>
      <c r="R265" s="207"/>
      <c r="Z265" s="205"/>
      <c r="AA265" s="206"/>
      <c r="AB265" s="37"/>
      <c r="AC265" s="205"/>
      <c r="AD265" s="207"/>
      <c r="AK265" s="205"/>
      <c r="AL265" s="206"/>
      <c r="AM265" s="37"/>
      <c r="AN265" s="205"/>
      <c r="AO265" s="207"/>
      <c r="AV265" s="205"/>
      <c r="AW265" s="206"/>
      <c r="AX265" s="37"/>
      <c r="AY265" s="205"/>
      <c r="AZ265" s="207"/>
      <c r="BG265" s="205"/>
      <c r="BH265" s="206"/>
      <c r="BI265" s="37"/>
      <c r="BJ265" s="205"/>
      <c r="BK265" s="207"/>
    </row>
    <row r="266" spans="2:84" x14ac:dyDescent="0.25">
      <c r="N266" s="205"/>
      <c r="O266" s="206"/>
      <c r="P266" s="37"/>
      <c r="Q266" s="205"/>
      <c r="R266" s="207"/>
      <c r="Z266" s="205"/>
      <c r="AA266" s="206"/>
      <c r="AB266" s="37"/>
      <c r="AC266" s="205"/>
      <c r="AD266" s="207"/>
      <c r="AK266" s="205"/>
      <c r="AL266" s="206"/>
      <c r="AM266" s="37"/>
      <c r="AN266" s="205"/>
      <c r="AO266" s="207"/>
      <c r="AV266" s="205"/>
      <c r="AW266" s="206"/>
      <c r="AX266" s="37"/>
      <c r="AY266" s="205"/>
      <c r="AZ266" s="207"/>
      <c r="BG266" s="205"/>
      <c r="BH266" s="206"/>
      <c r="BI266" s="37"/>
      <c r="BJ266" s="205"/>
      <c r="BK266" s="207"/>
    </row>
    <row r="267" spans="2:84" x14ac:dyDescent="0.25">
      <c r="C267" s="113" t="str">
        <f>"NMF{2}^{"&amp;launch.year-5&amp;","&amp;launch.year&amp;"} = "</f>
        <v xml:space="preserve">NMF{2}^{2005,2010} = </v>
      </c>
      <c r="D267" s="25" t="str">
        <f>"PFN{2}^"&amp;launch.year&amp;" X nmf{2}^{"&amp;launch.year&amp;","&amp;launch.year+5&amp;"}"</f>
        <v>PFN{2}^2010 X nmf{2}^{2010,2015}</v>
      </c>
      <c r="N267" s="205"/>
      <c r="O267" s="206"/>
      <c r="P267" s="37"/>
      <c r="Q267" s="205"/>
      <c r="R267" s="207"/>
      <c r="Z267" s="205"/>
      <c r="AA267" s="206"/>
      <c r="AB267" s="37"/>
      <c r="AC267" s="205"/>
      <c r="AD267" s="207"/>
      <c r="AK267" s="205"/>
      <c r="AL267" s="206"/>
      <c r="AM267" s="37"/>
      <c r="AN267" s="205"/>
      <c r="AO267" s="207"/>
      <c r="AV267" s="205"/>
      <c r="AW267" s="206"/>
      <c r="AX267" s="37"/>
      <c r="AY267" s="205"/>
      <c r="AZ267" s="207"/>
      <c r="BG267" s="205"/>
      <c r="BH267" s="206"/>
      <c r="BI267" s="37"/>
      <c r="BJ267" s="205"/>
      <c r="BK267" s="207"/>
    </row>
    <row r="268" spans="2:84" x14ac:dyDescent="0.25">
      <c r="C268" s="134" t="s">
        <v>108</v>
      </c>
      <c r="D268" s="193" t="str">
        <f>TEXT($D$245,"#,###")&amp;" X "&amp;TEXT($E$245,"0.000E+00")</f>
        <v>9,959,019 X -1.198E-04</v>
      </c>
      <c r="N268" s="205"/>
      <c r="O268" s="206"/>
      <c r="P268" s="37"/>
      <c r="Q268" s="205"/>
      <c r="R268" s="207"/>
      <c r="Z268" s="205"/>
      <c r="AA268" s="206"/>
      <c r="AB268" s="37"/>
      <c r="AC268" s="205"/>
      <c r="AD268" s="207"/>
      <c r="AK268" s="205"/>
      <c r="AL268" s="206"/>
      <c r="AM268" s="37"/>
      <c r="AN268" s="205"/>
      <c r="AO268" s="207"/>
      <c r="AV268" s="205"/>
      <c r="AW268" s="206"/>
      <c r="AX268" s="37"/>
      <c r="AY268" s="205"/>
      <c r="AZ268" s="207"/>
      <c r="BG268" s="205"/>
      <c r="BH268" s="206"/>
      <c r="BI268" s="37"/>
      <c r="BJ268" s="205"/>
      <c r="BK268" s="207"/>
    </row>
    <row r="269" spans="2:84" x14ac:dyDescent="0.25">
      <c r="C269" s="134" t="s">
        <v>136</v>
      </c>
      <c r="D269" s="171">
        <f>$D$245*$E$245</f>
        <v>-1193.008481988712</v>
      </c>
      <c r="N269" s="205"/>
      <c r="O269" s="206"/>
      <c r="P269" s="37"/>
      <c r="Q269" s="205"/>
      <c r="R269" s="207"/>
      <c r="Z269" s="205"/>
      <c r="AA269" s="206"/>
      <c r="AB269" s="37"/>
      <c r="AC269" s="205"/>
      <c r="AD269" s="207"/>
      <c r="AK269" s="205"/>
      <c r="AL269" s="206"/>
      <c r="AM269" s="37"/>
      <c r="AN269" s="205"/>
      <c r="AO269" s="207"/>
      <c r="AV269" s="205"/>
      <c r="AW269" s="206"/>
      <c r="AX269" s="37"/>
      <c r="AY269" s="205"/>
      <c r="AZ269" s="207"/>
      <c r="BG269" s="205"/>
      <c r="BH269" s="206"/>
      <c r="BI269" s="37"/>
      <c r="BJ269" s="205"/>
      <c r="BK269" s="207"/>
    </row>
    <row r="270" spans="2:84" x14ac:dyDescent="0.25">
      <c r="N270" s="205"/>
      <c r="O270" s="206"/>
      <c r="P270" s="37"/>
      <c r="Q270" s="205"/>
      <c r="R270" s="207"/>
      <c r="Z270" s="205"/>
      <c r="AA270" s="206"/>
      <c r="AB270" s="37"/>
      <c r="AC270" s="205"/>
      <c r="AD270" s="207"/>
      <c r="AK270" s="205"/>
      <c r="AL270" s="206"/>
      <c r="AM270" s="37"/>
      <c r="AN270" s="205"/>
      <c r="AO270" s="207"/>
      <c r="AV270" s="205"/>
      <c r="AW270" s="206"/>
      <c r="AX270" s="37"/>
      <c r="AY270" s="205"/>
      <c r="AZ270" s="207"/>
      <c r="BG270" s="205"/>
      <c r="BH270" s="206"/>
      <c r="BI270" s="37"/>
      <c r="BJ270" s="205"/>
      <c r="BK270" s="207"/>
    </row>
    <row r="272" spans="2:84" x14ac:dyDescent="0.25">
      <c r="B272" s="208" t="str">
        <f>"Projecting Female Population by Age with Constant Rates: "&amp;study.area&amp;", "&amp;launch.year+5</f>
        <v>Projecting Female Population by Age with Constant Rates: DeKalb County, 2015</v>
      </c>
      <c r="M272" s="208" t="str">
        <f>"Projecting Female Population by Age with Constant Rates: "&amp;study.area&amp;", "&amp;launch.year+10</f>
        <v>Projecting Female Population by Age with Constant Rates: DeKalb County, 2020</v>
      </c>
      <c r="Z272" s="208" t="str">
        <f>"Projecting Female Population by Age with Constant Rates: "&amp;study.area&amp;", "&amp;launch.year+15</f>
        <v>Projecting Female Population by Age with Constant Rates: DeKalb County, 2025</v>
      </c>
      <c r="AM272" s="208" t="str">
        <f>"Projecting Female Population by Age with Constant Rates: "&amp;study.area&amp;", "&amp;launch.year+20</f>
        <v>Projecting Female Population by Age with Constant Rates: DeKalb County, 2030</v>
      </c>
      <c r="AZ272" s="208" t="str">
        <f>"Projecting Female Population by Age with Constant Rates: "&amp;study.area&amp;", "&amp;launch.year+25</f>
        <v>Projecting Female Population by Age with Constant Rates: DeKalb County, 2035</v>
      </c>
      <c r="BM272" s="208" t="str">
        <f>"Projecting Female Population by Age with Constant Rates: "&amp;study.area&amp;", "&amp;launch.year+30</f>
        <v>Projecting Female Population by Age with Constant Rates: DeKalb County, 2040</v>
      </c>
      <c r="CD272" s="195"/>
      <c r="CE272" s="195"/>
      <c r="CF272" s="195"/>
    </row>
    <row r="273" spans="2:94" x14ac:dyDescent="0.25">
      <c r="M273" s="195"/>
    </row>
    <row r="274" spans="2:94" ht="30" x14ac:dyDescent="0.25">
      <c r="B274" s="176" t="s">
        <v>6</v>
      </c>
      <c r="C274" s="176" t="s">
        <v>78</v>
      </c>
      <c r="D274" s="176" t="s">
        <v>150</v>
      </c>
      <c r="E274" s="176" t="s">
        <v>127</v>
      </c>
      <c r="F274" s="176" t="s">
        <v>151</v>
      </c>
      <c r="G274" s="176" t="s">
        <v>149</v>
      </c>
      <c r="H274" s="176" t="s">
        <v>152</v>
      </c>
      <c r="I274" s="176" t="s">
        <v>152</v>
      </c>
      <c r="J274" s="176" t="s">
        <v>153</v>
      </c>
      <c r="K274" s="176" t="s">
        <v>154</v>
      </c>
      <c r="M274" s="176" t="s">
        <v>6</v>
      </c>
      <c r="N274" s="176" t="s">
        <v>78</v>
      </c>
      <c r="O274" s="176" t="s">
        <v>150</v>
      </c>
      <c r="P274" s="176" t="s">
        <v>127</v>
      </c>
      <c r="Q274" s="176" t="s">
        <v>151</v>
      </c>
      <c r="R274" s="176" t="s">
        <v>149</v>
      </c>
      <c r="S274" s="209" t="s">
        <v>152</v>
      </c>
      <c r="T274" s="210"/>
      <c r="U274" s="211"/>
      <c r="V274" s="176" t="s">
        <v>155</v>
      </c>
      <c r="W274" s="176" t="s">
        <v>154</v>
      </c>
      <c r="Y274" s="212"/>
      <c r="Z274" s="176" t="s">
        <v>6</v>
      </c>
      <c r="AA274" s="176" t="s">
        <v>78</v>
      </c>
      <c r="AB274" s="176" t="s">
        <v>150</v>
      </c>
      <c r="AC274" s="176" t="s">
        <v>127</v>
      </c>
      <c r="AD274" s="176" t="s">
        <v>151</v>
      </c>
      <c r="AE274" s="176" t="s">
        <v>149</v>
      </c>
      <c r="AF274" s="209" t="s">
        <v>152</v>
      </c>
      <c r="AG274" s="210"/>
      <c r="AH274" s="211"/>
      <c r="AI274" s="176" t="s">
        <v>155</v>
      </c>
      <c r="AJ274" s="176" t="s">
        <v>154</v>
      </c>
      <c r="AK274" s="213"/>
      <c r="AL274" s="213"/>
      <c r="AM274" s="176" t="s">
        <v>6</v>
      </c>
      <c r="AN274" s="176" t="s">
        <v>78</v>
      </c>
      <c r="AO274" s="176" t="s">
        <v>150</v>
      </c>
      <c r="AP274" s="176" t="s">
        <v>127</v>
      </c>
      <c r="AQ274" s="176" t="s">
        <v>151</v>
      </c>
      <c r="AR274" s="176" t="s">
        <v>149</v>
      </c>
      <c r="AS274" s="209" t="s">
        <v>152</v>
      </c>
      <c r="AT274" s="210"/>
      <c r="AU274" s="211"/>
      <c r="AV274" s="176" t="s">
        <v>155</v>
      </c>
      <c r="AW274" s="176" t="s">
        <v>154</v>
      </c>
      <c r="AX274" s="213"/>
      <c r="AY274" s="213"/>
      <c r="AZ274" s="176" t="s">
        <v>6</v>
      </c>
      <c r="BA274" s="176" t="s">
        <v>78</v>
      </c>
      <c r="BB274" s="176" t="s">
        <v>150</v>
      </c>
      <c r="BC274" s="176" t="s">
        <v>127</v>
      </c>
      <c r="BD274" s="176" t="s">
        <v>151</v>
      </c>
      <c r="BE274" s="176" t="s">
        <v>149</v>
      </c>
      <c r="BF274" s="209" t="s">
        <v>152</v>
      </c>
      <c r="BG274" s="210"/>
      <c r="BH274" s="211"/>
      <c r="BI274" s="176" t="s">
        <v>155</v>
      </c>
      <c r="BJ274" s="176" t="s">
        <v>154</v>
      </c>
      <c r="BK274" s="214"/>
      <c r="BL274" s="214"/>
      <c r="BM274" s="176" t="s">
        <v>6</v>
      </c>
      <c r="BN274" s="176" t="s">
        <v>78</v>
      </c>
      <c r="BO274" s="176" t="s">
        <v>150</v>
      </c>
      <c r="BP274" s="176" t="s">
        <v>127</v>
      </c>
      <c r="BQ274" s="176" t="s">
        <v>151</v>
      </c>
      <c r="BR274" s="176" t="s">
        <v>149</v>
      </c>
      <c r="BS274" s="209" t="s">
        <v>152</v>
      </c>
      <c r="BT274" s="210"/>
      <c r="BU274" s="211"/>
      <c r="BV274" s="176" t="s">
        <v>155</v>
      </c>
      <c r="BW274" s="176" t="s">
        <v>154</v>
      </c>
      <c r="BX274" s="213"/>
      <c r="BY274" s="213"/>
      <c r="BZ274" s="176" t="s">
        <v>6</v>
      </c>
      <c r="CA274" s="176" t="s">
        <v>78</v>
      </c>
      <c r="CB274" s="209" t="s">
        <v>8</v>
      </c>
      <c r="CC274" s="211"/>
      <c r="CD274" s="176" t="s">
        <v>164</v>
      </c>
      <c r="CE274" s="213"/>
      <c r="CF274" s="213"/>
      <c r="CP274" s="214"/>
    </row>
    <row r="275" spans="2:94" ht="18" customHeight="1" x14ac:dyDescent="0.25">
      <c r="B275" s="197" t="s">
        <v>31</v>
      </c>
      <c r="C275" s="197"/>
      <c r="D275" s="197" t="str">
        <f>"PF{n}^"&amp;launch.year</f>
        <v>PF{n}^2010</v>
      </c>
      <c r="E275" s="57" t="str">
        <f>"s{n,n+1}^{"&amp;launch.year&amp;"-"&amp;launch.year+5&amp;"}"</f>
        <v>s{n,n+1}^{2010-2015}</v>
      </c>
      <c r="F275" s="197" t="str">
        <f>"PF{n}^"&amp;launch.year+5</f>
        <v>PF{n}^2015</v>
      </c>
      <c r="G275" s="179" t="str">
        <f>"NMF{n}^{"&amp;launch.year&amp;","&amp;launch.year+5&amp;"}"</f>
        <v>NMF{n}^{2010,2015}</v>
      </c>
      <c r="H275" s="197" t="str">
        <f>"ff{n}^{"&amp;launch.year&amp;","&amp;launch.year+5&amp;"}"</f>
        <v>ff{n}^{2010,2015}</v>
      </c>
      <c r="I275" s="197" t="str">
        <f>"ff{n}^{"&amp;launch.year+5&amp;","&amp;launch.year+10&amp;"}"</f>
        <v>ff{n}^{2015,2020}</v>
      </c>
      <c r="J275" s="179" t="str">
        <f>"BF{n}^{"&amp;launch.year&amp;","&amp;launch.year+5&amp;"}"</f>
        <v>BF{n}^{2010,2015}</v>
      </c>
      <c r="K275" s="197" t="str">
        <f>"PF{n}^"&amp;launch.year+5</f>
        <v>PF{n}^2015</v>
      </c>
      <c r="M275" s="197" t="s">
        <v>31</v>
      </c>
      <c r="N275" s="197"/>
      <c r="O275" s="197" t="str">
        <f>"PF{n}^"&amp;launch.year+5</f>
        <v>PF{n}^2015</v>
      </c>
      <c r="P275" s="57" t="str">
        <f>"s{n,n+1}^{"&amp;launch.year+5&amp;"-"&amp;launch.year+10&amp;"}"</f>
        <v>s{n,n+1}^{2015-2020}</v>
      </c>
      <c r="Q275" s="197" t="str">
        <f>"PF{n}^"&amp;launch.year+10</f>
        <v>PF{n}^2020</v>
      </c>
      <c r="R275" s="179" t="str">
        <f>"NMF{n}^{"&amp;launch.year+5&amp;","&amp;launch.year+10&amp;"}"</f>
        <v>NMF{n}^{2015,2020}</v>
      </c>
      <c r="S275" s="197" t="str">
        <f>"ff{n}^{"&amp;launch.year+5&amp;","&amp;launch.year+10&amp;"}"</f>
        <v>ff{n}^{2015,2020}</v>
      </c>
      <c r="T275" s="197" t="str">
        <f>"ff{n}^{"&amp;launch.year+10&amp;","&amp;launch.year+15&amp;"}"</f>
        <v>ff{n}^{2020,2025}</v>
      </c>
      <c r="U275" s="197" t="s">
        <v>117</v>
      </c>
      <c r="V275" s="179" t="str">
        <f>"BF{n}^{"&amp;launch.year+5&amp;","&amp;launch.year+10&amp;"}"</f>
        <v>BF{n}^{2015,2020}</v>
      </c>
      <c r="W275" s="197" t="str">
        <f>"PF{n}^"&amp;launch.year+10</f>
        <v>PF{n}^2020</v>
      </c>
      <c r="Y275" s="214"/>
      <c r="Z275" s="197" t="s">
        <v>31</v>
      </c>
      <c r="AA275" s="197"/>
      <c r="AB275" s="197" t="str">
        <f>"PF{n}^"&amp;launch.year+10</f>
        <v>PF{n}^2020</v>
      </c>
      <c r="AC275" s="57" t="str">
        <f>"s{n,n+1}^{"&amp;launch.year+10&amp;"-"&amp;launch.year+15&amp;"}"</f>
        <v>s{n,n+1}^{2020-2025}</v>
      </c>
      <c r="AD275" s="197" t="str">
        <f>"PF{n}^"&amp;launch.year+15</f>
        <v>PF{n}^2025</v>
      </c>
      <c r="AE275" s="179" t="str">
        <f>"NMF{n}^{"&amp;launch.year+10&amp;","&amp;launch.year+15&amp;"}"</f>
        <v>NMF{n}^{2020,2025}</v>
      </c>
      <c r="AF275" s="197" t="str">
        <f>"ff{n}^{"&amp;launch.year+10&amp;","&amp;launch.year+15&amp;"}"</f>
        <v>ff{n}^{2020,2025}</v>
      </c>
      <c r="AG275" s="197" t="str">
        <f>"ff{n}^{"&amp;launch.year+15&amp;","&amp;launch.year+20&amp;"}"</f>
        <v>ff{n}^{2025,2030}</v>
      </c>
      <c r="AH275" s="197" t="s">
        <v>117</v>
      </c>
      <c r="AI275" s="179" t="str">
        <f>"BF{n}^{"&amp;launch.year+10&amp;","&amp;launch.year+15&amp;"}"</f>
        <v>BF{n}^{2020,2025}</v>
      </c>
      <c r="AJ275" s="197" t="str">
        <f>"PF{n}^"&amp;launch.year+15</f>
        <v>PF{n}^2025</v>
      </c>
      <c r="AK275" s="206"/>
      <c r="AL275" s="206"/>
      <c r="AM275" s="197" t="s">
        <v>31</v>
      </c>
      <c r="AN275" s="197"/>
      <c r="AO275" s="197" t="str">
        <f>"PF{n}^"&amp;launch.year+15</f>
        <v>PF{n}^2025</v>
      </c>
      <c r="AP275" s="57" t="str">
        <f>"s{n,n+1}^{"&amp;launch.year+15&amp;"-"&amp;launch.year+20&amp;"}"</f>
        <v>s{n,n+1}^{2025-2030}</v>
      </c>
      <c r="AQ275" s="197" t="str">
        <f>"PF{n}^"&amp;launch.year+20</f>
        <v>PF{n}^2030</v>
      </c>
      <c r="AR275" s="179" t="str">
        <f>"NMF{n}^{"&amp;launch.year+15&amp;","&amp;launch.year+20&amp;"}"</f>
        <v>NMF{n}^{2025,2030}</v>
      </c>
      <c r="AS275" s="197" t="str">
        <f>"ff{n}^{"&amp;launch.year+15&amp;","&amp;launch.year+20&amp;"}"</f>
        <v>ff{n}^{2025,2030}</v>
      </c>
      <c r="AT275" s="197" t="str">
        <f>"ff{n}^{"&amp;launch.year+20&amp;","&amp;launch.year+25&amp;"}"</f>
        <v>ff{n}^{2030,2035}</v>
      </c>
      <c r="AU275" s="197" t="s">
        <v>117</v>
      </c>
      <c r="AV275" s="179" t="str">
        <f>"BF{n}^{"&amp;launch.year+15&amp;","&amp;launch.year+20&amp;"}"</f>
        <v>BF{n}^{2025,2030}</v>
      </c>
      <c r="AW275" s="197" t="str">
        <f>"PF{n}^"&amp;launch.year+20</f>
        <v>PF{n}^2030</v>
      </c>
      <c r="AX275" s="206"/>
      <c r="AY275" s="206"/>
      <c r="AZ275" s="197" t="s">
        <v>31</v>
      </c>
      <c r="BA275" s="197"/>
      <c r="BB275" s="197" t="str">
        <f>"PF{n}^"&amp;launch.year+20</f>
        <v>PF{n}^2030</v>
      </c>
      <c r="BC275" s="57" t="str">
        <f>"s{n,n+1}^{"&amp;launch.year+20&amp;"-"&amp;launch.year+25&amp;"}"</f>
        <v>s{n,n+1}^{2030-2035}</v>
      </c>
      <c r="BD275" s="197" t="str">
        <f>"PF{n}^"&amp;launch.year+25</f>
        <v>PF{n}^2035</v>
      </c>
      <c r="BE275" s="179" t="str">
        <f>"NMF{n}^{"&amp;launch.year+20&amp;","&amp;launch.year+25&amp;"}"</f>
        <v>NMF{n}^{2030,2035}</v>
      </c>
      <c r="BF275" s="197" t="str">
        <f>"ff{n}^{"&amp;launch.year+20&amp;","&amp;launch.year+25&amp;"}"</f>
        <v>ff{n}^{2030,2035}</v>
      </c>
      <c r="BG275" s="197" t="str">
        <f>"ff{n}^{"&amp;launch.year+25&amp;","&amp;launch.year+30&amp;"}"</f>
        <v>ff{n}^{2035,2040}</v>
      </c>
      <c r="BH275" s="197" t="s">
        <v>117</v>
      </c>
      <c r="BI275" s="179" t="str">
        <f>"BF{n}^{"&amp;launch.year+20&amp;","&amp;launch.year+25&amp;"}"</f>
        <v>BF{n}^{2030,2035}</v>
      </c>
      <c r="BJ275" s="197" t="str">
        <f>"PF{n}^"&amp;launch.year+25</f>
        <v>PF{n}^2035</v>
      </c>
      <c r="BK275" s="212"/>
      <c r="BL275" s="212"/>
      <c r="BM275" s="197" t="s">
        <v>31</v>
      </c>
      <c r="BN275" s="197"/>
      <c r="BO275" s="197" t="str">
        <f>"PF{n}^"&amp;launch.year+25</f>
        <v>PF{n}^2035</v>
      </c>
      <c r="BP275" s="57" t="str">
        <f>"s{n,n+1}^{"&amp;launch.year+25&amp;"-"&amp;launch.year+30&amp;"}"</f>
        <v>s{n,n+1}^{2035-2040}</v>
      </c>
      <c r="BQ275" s="197" t="str">
        <f>"PF{n}^"&amp;launch.year+30</f>
        <v>PF{n}^2040</v>
      </c>
      <c r="BR275" s="179" t="str">
        <f>"NMF{n}^{"&amp;launch.year+25&amp;","&amp;launch.year+30&amp;"}"</f>
        <v>NMF{n}^{2035,2040}</v>
      </c>
      <c r="BS275" s="197" t="str">
        <f>"ff{n}^{"&amp;launch.year+25&amp;","&amp;launch.year+30&amp;"}"</f>
        <v>ff{n}^{2035,2040}</v>
      </c>
      <c r="BT275" s="197" t="str">
        <f>"ff{n}^{"&amp;launch.year+30&amp;","&amp;launch.year+35&amp;"}"</f>
        <v>ff{n}^{2040,2045}</v>
      </c>
      <c r="BU275" s="197" t="s">
        <v>117</v>
      </c>
      <c r="BV275" s="179" t="str">
        <f>"BF{n}^{"&amp;launch.year+25&amp;","&amp;launch.year+30&amp;"}"</f>
        <v>BF{n}^{2035,2040}</v>
      </c>
      <c r="BW275" s="197" t="str">
        <f>"PF{n}^"&amp;launch.year+30</f>
        <v>PF{n}^2040</v>
      </c>
      <c r="BX275" s="206"/>
      <c r="BY275" s="213"/>
      <c r="BZ275" s="197" t="s">
        <v>31</v>
      </c>
      <c r="CA275" s="197"/>
      <c r="CB275" s="176">
        <f>launch.year</f>
        <v>2010</v>
      </c>
      <c r="CC275" s="176">
        <f>launch.year</f>
        <v>2010</v>
      </c>
      <c r="CD275" s="197"/>
      <c r="CE275" s="213"/>
      <c r="CF275" s="213"/>
      <c r="CP275" s="214"/>
    </row>
    <row r="276" spans="2:94" x14ac:dyDescent="0.25">
      <c r="B276" s="187" t="s">
        <v>9</v>
      </c>
      <c r="C276" s="180" t="s">
        <v>10</v>
      </c>
      <c r="D276" s="187" t="s">
        <v>11</v>
      </c>
      <c r="E276" s="187" t="s">
        <v>12</v>
      </c>
      <c r="F276" s="180" t="s">
        <v>13</v>
      </c>
      <c r="G276" s="180" t="s">
        <v>14</v>
      </c>
      <c r="H276" s="180" t="s">
        <v>15</v>
      </c>
      <c r="I276" s="180" t="s">
        <v>16</v>
      </c>
      <c r="J276" s="180" t="s">
        <v>18</v>
      </c>
      <c r="K276" s="180" t="s">
        <v>19</v>
      </c>
      <c r="M276" s="215" t="s">
        <v>9</v>
      </c>
      <c r="N276" s="215" t="s">
        <v>10</v>
      </c>
      <c r="O276" s="215" t="s">
        <v>11</v>
      </c>
      <c r="P276" s="215" t="s">
        <v>12</v>
      </c>
      <c r="Q276" s="215" t="s">
        <v>13</v>
      </c>
      <c r="R276" s="215" t="s">
        <v>14</v>
      </c>
      <c r="S276" s="180" t="s">
        <v>15</v>
      </c>
      <c r="T276" s="180" t="s">
        <v>16</v>
      </c>
      <c r="U276" s="180" t="s">
        <v>18</v>
      </c>
      <c r="V276" s="180" t="s">
        <v>19</v>
      </c>
      <c r="W276" s="180" t="s">
        <v>30</v>
      </c>
      <c r="Z276" s="63" t="s">
        <v>9</v>
      </c>
      <c r="AA276" s="147" t="s">
        <v>10</v>
      </c>
      <c r="AB276" s="63" t="s">
        <v>11</v>
      </c>
      <c r="AC276" s="63" t="s">
        <v>12</v>
      </c>
      <c r="AD276" s="147" t="s">
        <v>13</v>
      </c>
      <c r="AE276" s="147" t="s">
        <v>14</v>
      </c>
      <c r="AF276" s="180" t="s">
        <v>15</v>
      </c>
      <c r="AG276" s="180" t="s">
        <v>16</v>
      </c>
      <c r="AH276" s="180" t="s">
        <v>18</v>
      </c>
      <c r="AI276" s="180" t="s">
        <v>19</v>
      </c>
      <c r="AJ276" s="180" t="s">
        <v>30</v>
      </c>
      <c r="AK276" s="74"/>
      <c r="AL276" s="66"/>
      <c r="AM276" s="63" t="s">
        <v>9</v>
      </c>
      <c r="AN276" s="147" t="s">
        <v>10</v>
      </c>
      <c r="AO276" s="63" t="s">
        <v>11</v>
      </c>
      <c r="AP276" s="63" t="s">
        <v>12</v>
      </c>
      <c r="AQ276" s="147" t="s">
        <v>13</v>
      </c>
      <c r="AR276" s="147" t="s">
        <v>14</v>
      </c>
      <c r="AS276" s="180" t="s">
        <v>15</v>
      </c>
      <c r="AT276" s="180" t="s">
        <v>16</v>
      </c>
      <c r="AU276" s="180" t="s">
        <v>18</v>
      </c>
      <c r="AV276" s="180" t="s">
        <v>19</v>
      </c>
      <c r="AW276" s="180" t="s">
        <v>30</v>
      </c>
      <c r="AX276" s="74"/>
      <c r="AY276" s="74"/>
      <c r="AZ276" s="63" t="s">
        <v>9</v>
      </c>
      <c r="BA276" s="147" t="s">
        <v>10</v>
      </c>
      <c r="BB276" s="63" t="s">
        <v>11</v>
      </c>
      <c r="BC276" s="63" t="s">
        <v>12</v>
      </c>
      <c r="BD276" s="147" t="s">
        <v>13</v>
      </c>
      <c r="BE276" s="147" t="s">
        <v>14</v>
      </c>
      <c r="BF276" s="180" t="s">
        <v>15</v>
      </c>
      <c r="BG276" s="180" t="s">
        <v>16</v>
      </c>
      <c r="BH276" s="180" t="s">
        <v>18</v>
      </c>
      <c r="BI276" s="180" t="s">
        <v>19</v>
      </c>
      <c r="BJ276" s="180" t="s">
        <v>30</v>
      </c>
      <c r="BM276" s="63" t="s">
        <v>9</v>
      </c>
      <c r="BN276" s="147" t="s">
        <v>10</v>
      </c>
      <c r="BO276" s="63" t="s">
        <v>11</v>
      </c>
      <c r="BP276" s="63" t="s">
        <v>12</v>
      </c>
      <c r="BQ276" s="147" t="s">
        <v>13</v>
      </c>
      <c r="BR276" s="147" t="s">
        <v>14</v>
      </c>
      <c r="BS276" s="180" t="s">
        <v>15</v>
      </c>
      <c r="BT276" s="180" t="s">
        <v>16</v>
      </c>
      <c r="BU276" s="180" t="s">
        <v>18</v>
      </c>
      <c r="BV276" s="147" t="s">
        <v>16</v>
      </c>
      <c r="BW276" s="147" t="s">
        <v>18</v>
      </c>
      <c r="BX276" s="74"/>
      <c r="BY276" s="66"/>
      <c r="BZ276" s="63" t="s">
        <v>9</v>
      </c>
      <c r="CA276" s="147" t="s">
        <v>10</v>
      </c>
      <c r="CB276" s="63" t="s">
        <v>11</v>
      </c>
      <c r="CC276" s="63" t="s">
        <v>12</v>
      </c>
      <c r="CD276" s="147" t="s">
        <v>13</v>
      </c>
      <c r="CE276" s="74"/>
      <c r="CF276" s="74"/>
    </row>
    <row r="277" spans="2:94" x14ac:dyDescent="0.25">
      <c r="B277" s="179">
        <v>0</v>
      </c>
      <c r="C277" s="186" t="s">
        <v>79</v>
      </c>
      <c r="D277" s="201" t="s">
        <v>95</v>
      </c>
      <c r="E277" s="216">
        <f t="shared" ref="E277:E295" si="50">F8</f>
        <v>0.99412500000000004</v>
      </c>
      <c r="F277" s="186" t="s">
        <v>95</v>
      </c>
      <c r="G277" s="186" t="s">
        <v>95</v>
      </c>
      <c r="H277" s="186" t="str">
        <f>K366</f>
        <v>--</v>
      </c>
      <c r="I277" s="186" t="str">
        <f>L366</f>
        <v>--</v>
      </c>
      <c r="J277" s="186" t="str">
        <f>L366</f>
        <v>--</v>
      </c>
      <c r="K277" s="201" t="s">
        <v>95</v>
      </c>
      <c r="M277" s="58">
        <v>0</v>
      </c>
      <c r="N277" s="58" t="s">
        <v>79</v>
      </c>
      <c r="O277" s="217" t="str">
        <f t="shared" ref="O277:O295" si="51">K277</f>
        <v>---</v>
      </c>
      <c r="P277" s="218">
        <f>E277</f>
        <v>0.99412500000000004</v>
      </c>
      <c r="Q277" s="219" t="s">
        <v>95</v>
      </c>
      <c r="R277" s="220" t="s">
        <v>95</v>
      </c>
      <c r="S277" s="201" t="s">
        <v>143</v>
      </c>
      <c r="T277" s="201" t="s">
        <v>143</v>
      </c>
      <c r="U277" s="201" t="s">
        <v>143</v>
      </c>
      <c r="V277" s="201" t="s">
        <v>143</v>
      </c>
      <c r="W277" s="219" t="s">
        <v>143</v>
      </c>
      <c r="Z277" s="57">
        <v>0</v>
      </c>
      <c r="AA277" s="166" t="s">
        <v>79</v>
      </c>
      <c r="AB277" s="167" t="s">
        <v>95</v>
      </c>
      <c r="AC277" s="151">
        <f>E277</f>
        <v>0.99412500000000004</v>
      </c>
      <c r="AD277" s="221" t="s">
        <v>95</v>
      </c>
      <c r="AE277" s="221" t="s">
        <v>95</v>
      </c>
      <c r="AF277" s="221" t="s">
        <v>95</v>
      </c>
      <c r="AG277" s="221" t="s">
        <v>95</v>
      </c>
      <c r="AH277" s="221" t="s">
        <v>95</v>
      </c>
      <c r="AI277" s="221" t="s">
        <v>95</v>
      </c>
      <c r="AJ277" s="221" t="s">
        <v>95</v>
      </c>
      <c r="AK277" s="74"/>
      <c r="AL277" s="101"/>
      <c r="AM277" s="57">
        <v>0</v>
      </c>
      <c r="AN277" s="166" t="s">
        <v>79</v>
      </c>
      <c r="AO277" s="167" t="s">
        <v>95</v>
      </c>
      <c r="AP277" s="151">
        <f>E277</f>
        <v>0.99412500000000004</v>
      </c>
      <c r="AQ277" s="221" t="s">
        <v>95</v>
      </c>
      <c r="AR277" s="221" t="s">
        <v>95</v>
      </c>
      <c r="AS277" s="221" t="s">
        <v>95</v>
      </c>
      <c r="AT277" s="221" t="s">
        <v>95</v>
      </c>
      <c r="AU277" s="221" t="s">
        <v>95</v>
      </c>
      <c r="AV277" s="221" t="s">
        <v>95</v>
      </c>
      <c r="AW277" s="221" t="s">
        <v>95</v>
      </c>
      <c r="AX277" s="74"/>
      <c r="AY277" s="222"/>
      <c r="AZ277" s="57">
        <v>0</v>
      </c>
      <c r="BA277" s="166" t="s">
        <v>79</v>
      </c>
      <c r="BB277" s="167" t="s">
        <v>95</v>
      </c>
      <c r="BC277" s="151">
        <f>E277</f>
        <v>0.99412500000000004</v>
      </c>
      <c r="BD277" s="166" t="s">
        <v>95</v>
      </c>
      <c r="BE277" s="221" t="s">
        <v>95</v>
      </c>
      <c r="BF277" s="221" t="s">
        <v>95</v>
      </c>
      <c r="BG277" s="221" t="s">
        <v>95</v>
      </c>
      <c r="BH277" s="201" t="s">
        <v>143</v>
      </c>
      <c r="BI277" s="166" t="s">
        <v>143</v>
      </c>
      <c r="BJ277" s="166" t="s">
        <v>143</v>
      </c>
      <c r="BM277" s="57">
        <v>0</v>
      </c>
      <c r="BN277" s="166" t="s">
        <v>79</v>
      </c>
      <c r="BO277" s="167" t="s">
        <v>95</v>
      </c>
      <c r="BP277" s="151">
        <f>E277</f>
        <v>0.99412500000000004</v>
      </c>
      <c r="BQ277" s="166" t="s">
        <v>95</v>
      </c>
      <c r="BR277" s="221" t="s">
        <v>95</v>
      </c>
      <c r="BS277" s="221" t="s">
        <v>95</v>
      </c>
      <c r="BT277" s="221" t="s">
        <v>95</v>
      </c>
      <c r="BU277" s="201" t="s">
        <v>143</v>
      </c>
      <c r="BV277" s="166" t="s">
        <v>143</v>
      </c>
      <c r="BW277" s="166" t="s">
        <v>143</v>
      </c>
      <c r="BX277" s="222"/>
      <c r="BY277" s="66"/>
      <c r="BZ277" s="57">
        <v>1</v>
      </c>
      <c r="CA277" s="57" t="s">
        <v>118</v>
      </c>
      <c r="CB277" s="165">
        <f>Input!J11</f>
        <v>24551</v>
      </c>
      <c r="CC277" s="165">
        <f t="shared" ref="CC277:CC294" si="52">BW278</f>
        <v>26256.677959919129</v>
      </c>
      <c r="CD277" s="223">
        <f t="shared" ref="CD277:CD295" si="53">(CC277-CB277)/CB277</f>
        <v>6.9474887374002231E-2</v>
      </c>
      <c r="CE277" s="74"/>
      <c r="CF277" s="74"/>
    </row>
    <row r="278" spans="2:94" x14ac:dyDescent="0.25">
      <c r="B278" s="179">
        <v>1</v>
      </c>
      <c r="C278" s="179" t="s">
        <v>118</v>
      </c>
      <c r="D278" s="201">
        <f>Input!J11</f>
        <v>24551</v>
      </c>
      <c r="E278" s="216">
        <f t="shared" si="50"/>
        <v>0.99911178171759085</v>
      </c>
      <c r="F278" s="224">
        <f>ROUND(J296*E277,0)</f>
        <v>25840</v>
      </c>
      <c r="G278" s="201">
        <f>F244</f>
        <v>-1594.3572280186543</v>
      </c>
      <c r="H278" s="201" t="s">
        <v>143</v>
      </c>
      <c r="I278" s="201" t="s">
        <v>143</v>
      </c>
      <c r="J278" s="201" t="s">
        <v>143</v>
      </c>
      <c r="K278" s="201">
        <f t="shared" ref="K278:K295" si="54">F278+G278</f>
        <v>24245.642771981347</v>
      </c>
      <c r="M278" s="57">
        <v>1</v>
      </c>
      <c r="N278" s="57" t="s">
        <v>118</v>
      </c>
      <c r="O278" s="167">
        <f t="shared" si="51"/>
        <v>24245.642771981347</v>
      </c>
      <c r="P278" s="151">
        <f t="shared" ref="P278:P295" si="55">E278</f>
        <v>0.99911178171759085</v>
      </c>
      <c r="Q278" s="181">
        <f>V296*P277</f>
        <v>25984.439249999999</v>
      </c>
      <c r="R278" s="225">
        <f t="shared" ref="R278:R295" si="56">Q244</f>
        <v>-1573.8042115375633</v>
      </c>
      <c r="S278" s="201" t="s">
        <v>143</v>
      </c>
      <c r="T278" s="201" t="s">
        <v>143</v>
      </c>
      <c r="U278" s="201" t="s">
        <v>143</v>
      </c>
      <c r="V278" s="201" t="s">
        <v>143</v>
      </c>
      <c r="W278" s="181">
        <f t="shared" ref="W278:W295" si="57">Q278+R278</f>
        <v>24410.635038462435</v>
      </c>
      <c r="X278" s="213"/>
      <c r="Z278" s="57">
        <v>1</v>
      </c>
      <c r="AA278" s="57" t="s">
        <v>118</v>
      </c>
      <c r="AB278" s="167">
        <f t="shared" ref="AB278:AB295" si="58">W278</f>
        <v>24410.635038462435</v>
      </c>
      <c r="AC278" s="151">
        <f t="shared" ref="AC278:AC295" si="59">E278</f>
        <v>0.99911178171759085</v>
      </c>
      <c r="AD278" s="181">
        <f>AI296*AC277</f>
        <v>26440.742625000003</v>
      </c>
      <c r="AE278" s="165">
        <f t="shared" ref="AE278:AE295" si="60">AD244</f>
        <v>-1621.0684534979061</v>
      </c>
      <c r="AF278" s="201" t="s">
        <v>143</v>
      </c>
      <c r="AG278" s="201" t="s">
        <v>143</v>
      </c>
      <c r="AH278" s="201" t="s">
        <v>143</v>
      </c>
      <c r="AI278" s="167" t="s">
        <v>143</v>
      </c>
      <c r="AJ278" s="181">
        <f t="shared" ref="AJ278:AJ295" si="61">AD278+AE278</f>
        <v>24819.674171502098</v>
      </c>
      <c r="AK278" s="66"/>
      <c r="AL278" s="101"/>
      <c r="AM278" s="57">
        <v>1</v>
      </c>
      <c r="AN278" s="57" t="s">
        <v>118</v>
      </c>
      <c r="AO278" s="167">
        <f>AJ278</f>
        <v>24819.674171502098</v>
      </c>
      <c r="AP278" s="151">
        <f t="shared" ref="AP278:AP295" si="62">E278</f>
        <v>0.99911178171759085</v>
      </c>
      <c r="AQ278" s="181">
        <f>AV296*AP277</f>
        <v>27028.270500000002</v>
      </c>
      <c r="AR278" s="165">
        <f t="shared" ref="AR278:AR295" si="63">AQ244</f>
        <v>-1655.926572093618</v>
      </c>
      <c r="AS278" s="201" t="s">
        <v>143</v>
      </c>
      <c r="AT278" s="201" t="s">
        <v>143</v>
      </c>
      <c r="AU278" s="201" t="s">
        <v>143</v>
      </c>
      <c r="AV278" s="167" t="s">
        <v>143</v>
      </c>
      <c r="AW278" s="181">
        <f t="shared" ref="AW278:AW295" si="64">AQ278+AR278</f>
        <v>25372.343927906386</v>
      </c>
      <c r="AX278" s="100"/>
      <c r="AY278" s="226"/>
      <c r="AZ278" s="57">
        <v>1</v>
      </c>
      <c r="BA278" s="57" t="s">
        <v>118</v>
      </c>
      <c r="BB278" s="167">
        <f>AW278</f>
        <v>25372.343927906386</v>
      </c>
      <c r="BC278" s="151">
        <f t="shared" ref="BC278:BC295" si="65">E278</f>
        <v>0.99911178171759085</v>
      </c>
      <c r="BD278" s="181">
        <f>BI296*BC277</f>
        <v>27538.256625000002</v>
      </c>
      <c r="BE278" s="165">
        <f t="shared" ref="BE278:BE295" si="66">BD244</f>
        <v>-1669.1518216361333</v>
      </c>
      <c r="BF278" s="201" t="s">
        <v>143</v>
      </c>
      <c r="BG278" s="201" t="s">
        <v>143</v>
      </c>
      <c r="BH278" s="201" t="s">
        <v>143</v>
      </c>
      <c r="BI278" s="167" t="s">
        <v>143</v>
      </c>
      <c r="BJ278" s="181">
        <f t="shared" ref="BJ278:BJ295" si="67">BD278+BE278</f>
        <v>25869.104803363869</v>
      </c>
      <c r="BM278" s="57">
        <v>1</v>
      </c>
      <c r="BN278" s="57" t="s">
        <v>118</v>
      </c>
      <c r="BO278" s="167">
        <f>BJ278</f>
        <v>25869.104803363869</v>
      </c>
      <c r="BP278" s="151">
        <f t="shared" ref="BP278:BP295" si="68">E278</f>
        <v>0.99911178171759085</v>
      </c>
      <c r="BQ278" s="181">
        <f>BV296*BP277</f>
        <v>27932.92425</v>
      </c>
      <c r="BR278" s="165">
        <f t="shared" ref="BR278:BR295" si="69">BQ244</f>
        <v>-1676.2462900808698</v>
      </c>
      <c r="BS278" s="201" t="s">
        <v>143</v>
      </c>
      <c r="BT278" s="201" t="s">
        <v>143</v>
      </c>
      <c r="BU278" s="201" t="s">
        <v>143</v>
      </c>
      <c r="BV278" s="167" t="s">
        <v>143</v>
      </c>
      <c r="BW278" s="181">
        <f t="shared" ref="BW278:BW295" si="70">BQ278+BR278</f>
        <v>26256.677959919129</v>
      </c>
      <c r="BX278" s="226"/>
      <c r="BY278" s="66"/>
      <c r="BZ278" s="57">
        <v>2</v>
      </c>
      <c r="CA278" s="57" t="s">
        <v>39</v>
      </c>
      <c r="CB278" s="165">
        <f>Input!J12</f>
        <v>22180</v>
      </c>
      <c r="CC278" s="165">
        <f t="shared" si="52"/>
        <v>24585.158045417571</v>
      </c>
      <c r="CD278" s="223">
        <f t="shared" si="53"/>
        <v>0.10843814451837561</v>
      </c>
      <c r="CE278" s="101"/>
      <c r="CF278" s="101"/>
    </row>
    <row r="279" spans="2:94" x14ac:dyDescent="0.25">
      <c r="B279" s="179">
        <v>2</v>
      </c>
      <c r="C279" s="179" t="s">
        <v>39</v>
      </c>
      <c r="D279" s="201">
        <f>Input!J12</f>
        <v>22180</v>
      </c>
      <c r="E279" s="216">
        <f t="shared" si="50"/>
        <v>0.99950867965712287</v>
      </c>
      <c r="F279" s="224">
        <f t="shared" ref="F279:F294" si="71">ROUND(D278*E278,0)</f>
        <v>24529</v>
      </c>
      <c r="G279" s="201">
        <f t="shared" ref="G279:G295" si="72">F245</f>
        <v>-1193.008481988712</v>
      </c>
      <c r="H279" s="201" t="s">
        <v>143</v>
      </c>
      <c r="I279" s="201" t="s">
        <v>143</v>
      </c>
      <c r="J279" s="201" t="s">
        <v>143</v>
      </c>
      <c r="K279" s="181">
        <f t="shared" si="54"/>
        <v>23335.991518011288</v>
      </c>
      <c r="M279" s="57">
        <v>2</v>
      </c>
      <c r="N279" s="57" t="s">
        <v>39</v>
      </c>
      <c r="O279" s="167">
        <f t="shared" si="51"/>
        <v>23335.991518011288</v>
      </c>
      <c r="P279" s="151">
        <f t="shared" si="55"/>
        <v>0.99950867965712287</v>
      </c>
      <c r="Q279" s="181">
        <f t="shared" ref="Q279:Q294" si="73">O278*P278</f>
        <v>24224.107348802514</v>
      </c>
      <c r="R279" s="225">
        <f t="shared" si="56"/>
        <v>-1199.6853156969923</v>
      </c>
      <c r="S279" s="201" t="s">
        <v>143</v>
      </c>
      <c r="T279" s="201" t="s">
        <v>143</v>
      </c>
      <c r="U279" s="201" t="s">
        <v>143</v>
      </c>
      <c r="V279" s="201" t="s">
        <v>143</v>
      </c>
      <c r="W279" s="181">
        <f t="shared" si="57"/>
        <v>23024.422033105522</v>
      </c>
      <c r="X279" s="213"/>
      <c r="Z279" s="57">
        <v>2</v>
      </c>
      <c r="AA279" s="57" t="s">
        <v>39</v>
      </c>
      <c r="AB279" s="167">
        <f t="shared" si="58"/>
        <v>23024.422033105522</v>
      </c>
      <c r="AC279" s="151">
        <f t="shared" si="59"/>
        <v>0.99950867965712287</v>
      </c>
      <c r="AD279" s="181">
        <f t="shared" ref="AD279:AD294" si="74">AB278*AC278</f>
        <v>24388.953066136055</v>
      </c>
      <c r="AE279" s="165">
        <f t="shared" si="60"/>
        <v>-1187.60599309606</v>
      </c>
      <c r="AF279" s="201" t="s">
        <v>143</v>
      </c>
      <c r="AG279" s="201" t="s">
        <v>143</v>
      </c>
      <c r="AH279" s="201" t="s">
        <v>143</v>
      </c>
      <c r="AI279" s="167" t="s">
        <v>143</v>
      </c>
      <c r="AJ279" s="181">
        <f t="shared" si="61"/>
        <v>23201.347073039993</v>
      </c>
      <c r="AK279" s="66"/>
      <c r="AL279" s="101"/>
      <c r="AM279" s="57">
        <v>2</v>
      </c>
      <c r="AN279" s="57" t="s">
        <v>39</v>
      </c>
      <c r="AO279" s="167">
        <f t="shared" ref="AO279:AO295" si="75">AJ279</f>
        <v>23201.347073039993</v>
      </c>
      <c r="AP279" s="151">
        <f t="shared" si="62"/>
        <v>0.99950867965712287</v>
      </c>
      <c r="AQ279" s="181">
        <f t="shared" ref="AQ279:AQ294" si="76">AO278*AP278</f>
        <v>24797.628883139532</v>
      </c>
      <c r="AR279" s="165">
        <f t="shared" si="63"/>
        <v>-1223.5162106247867</v>
      </c>
      <c r="AS279" s="201" t="s">
        <v>143</v>
      </c>
      <c r="AT279" s="201" t="s">
        <v>143</v>
      </c>
      <c r="AU279" s="201" t="s">
        <v>143</v>
      </c>
      <c r="AV279" s="167" t="s">
        <v>143</v>
      </c>
      <c r="AW279" s="181">
        <f t="shared" si="64"/>
        <v>23574.112672514744</v>
      </c>
      <c r="AX279" s="100"/>
      <c r="AY279" s="226"/>
      <c r="AZ279" s="57">
        <v>2</v>
      </c>
      <c r="BA279" s="57" t="s">
        <v>39</v>
      </c>
      <c r="BB279" s="167">
        <f t="shared" ref="BB279:BB295" si="77">AW279</f>
        <v>23574.112672514744</v>
      </c>
      <c r="BC279" s="151">
        <f t="shared" si="65"/>
        <v>0.99950867965712287</v>
      </c>
      <c r="BD279" s="181">
        <f t="shared" ref="BD279:BD294" si="78">BB278*BC278</f>
        <v>25349.807748162046</v>
      </c>
      <c r="BE279" s="165">
        <f t="shared" si="66"/>
        <v>-1250.311233031234</v>
      </c>
      <c r="BF279" s="201" t="s">
        <v>143</v>
      </c>
      <c r="BG279" s="201" t="s">
        <v>143</v>
      </c>
      <c r="BH279" s="201" t="s">
        <v>143</v>
      </c>
      <c r="BI279" s="167" t="s">
        <v>143</v>
      </c>
      <c r="BJ279" s="181">
        <f t="shared" si="67"/>
        <v>24099.496515130813</v>
      </c>
      <c r="BM279" s="57">
        <v>2</v>
      </c>
      <c r="BN279" s="57" t="s">
        <v>39</v>
      </c>
      <c r="BO279" s="167">
        <f t="shared" ref="BO279:BO295" si="79">BJ279</f>
        <v>24099.496515130813</v>
      </c>
      <c r="BP279" s="151">
        <f t="shared" si="68"/>
        <v>0.99950867965712287</v>
      </c>
      <c r="BQ279" s="181">
        <f t="shared" ref="BQ279:BQ294" si="80">BO278*BP278</f>
        <v>25846.127391527963</v>
      </c>
      <c r="BR279" s="165">
        <f t="shared" si="69"/>
        <v>-1260.9693461103936</v>
      </c>
      <c r="BS279" s="201" t="s">
        <v>143</v>
      </c>
      <c r="BT279" s="201" t="s">
        <v>143</v>
      </c>
      <c r="BU279" s="201" t="s">
        <v>143</v>
      </c>
      <c r="BV279" s="167" t="s">
        <v>143</v>
      </c>
      <c r="BW279" s="181">
        <f t="shared" si="70"/>
        <v>24585.158045417571</v>
      </c>
      <c r="BX279" s="226"/>
      <c r="BY279" s="66"/>
      <c r="BZ279" s="57">
        <v>3</v>
      </c>
      <c r="CA279" s="57" t="s">
        <v>40</v>
      </c>
      <c r="CB279" s="165">
        <f>Input!J13</f>
        <v>20882</v>
      </c>
      <c r="CC279" s="165">
        <f t="shared" si="52"/>
        <v>23441.169328345943</v>
      </c>
      <c r="CD279" s="223">
        <f t="shared" si="53"/>
        <v>0.12255384198572659</v>
      </c>
      <c r="CE279" s="101"/>
      <c r="CF279" s="101"/>
    </row>
    <row r="280" spans="2:94" x14ac:dyDescent="0.25">
      <c r="B280" s="179">
        <v>3</v>
      </c>
      <c r="C280" s="179" t="s">
        <v>40</v>
      </c>
      <c r="D280" s="201">
        <f>Input!J13</f>
        <v>20882</v>
      </c>
      <c r="E280" s="216">
        <f t="shared" si="50"/>
        <v>0.99902392737777934</v>
      </c>
      <c r="F280" s="224">
        <f t="shared" si="71"/>
        <v>22169</v>
      </c>
      <c r="G280" s="201">
        <f t="shared" si="72"/>
        <v>-616.4286906590296</v>
      </c>
      <c r="H280" s="216">
        <f t="shared" ref="H280:H287" si="81">H88</f>
        <v>5.16E-2</v>
      </c>
      <c r="I280" s="216">
        <f>H280</f>
        <v>5.16E-2</v>
      </c>
      <c r="J280" s="165">
        <f t="shared" ref="J280:J287" si="82">ROUND((D280+K280)/2*H280,0)</f>
        <v>1095</v>
      </c>
      <c r="K280" s="181">
        <f t="shared" si="54"/>
        <v>21552.571309340972</v>
      </c>
      <c r="M280" s="57">
        <v>3</v>
      </c>
      <c r="N280" s="57" t="s">
        <v>40</v>
      </c>
      <c r="O280" s="167">
        <f t="shared" si="51"/>
        <v>21552.571309340972</v>
      </c>
      <c r="P280" s="151">
        <f t="shared" si="55"/>
        <v>0.99902392737777934</v>
      </c>
      <c r="Q280" s="181">
        <f t="shared" si="73"/>
        <v>23324.526070657281</v>
      </c>
      <c r="R280" s="225">
        <f t="shared" si="56"/>
        <v>-615.15149143082976</v>
      </c>
      <c r="S280" s="227">
        <v>5.16E-2</v>
      </c>
      <c r="T280" s="227">
        <v>5.16E-2</v>
      </c>
      <c r="U280" s="227">
        <f>AVERAGE(S280:T280)</f>
        <v>5.16E-2</v>
      </c>
      <c r="V280" s="165">
        <f t="shared" ref="V280:V287" si="83">ROUND((O280+W280)/2*U280,0)</f>
        <v>1142</v>
      </c>
      <c r="W280" s="181">
        <f t="shared" si="57"/>
        <v>22709.374579226453</v>
      </c>
      <c r="X280" s="228"/>
      <c r="Z280" s="57">
        <v>3</v>
      </c>
      <c r="AA280" s="57" t="s">
        <v>40</v>
      </c>
      <c r="AB280" s="167">
        <f t="shared" si="58"/>
        <v>22709.374579226453</v>
      </c>
      <c r="AC280" s="151">
        <f t="shared" si="59"/>
        <v>0.99902392737777934</v>
      </c>
      <c r="AD280" s="181">
        <f t="shared" si="74"/>
        <v>23013.109666177668</v>
      </c>
      <c r="AE280" s="165">
        <f t="shared" si="60"/>
        <v>-619.66475856631973</v>
      </c>
      <c r="AF280" s="227">
        <v>5.16E-2</v>
      </c>
      <c r="AG280" s="227">
        <v>5.16E-2</v>
      </c>
      <c r="AH280" s="227">
        <f>AVERAGE(AF280:AG280)</f>
        <v>5.16E-2</v>
      </c>
      <c r="AI280" s="165">
        <f>ROUND((AB280+AJ280)/2*AH280,0)</f>
        <v>1164</v>
      </c>
      <c r="AJ280" s="181">
        <f t="shared" si="61"/>
        <v>22393.444907611349</v>
      </c>
      <c r="AK280" s="66"/>
      <c r="AL280" s="101"/>
      <c r="AM280" s="57">
        <v>3</v>
      </c>
      <c r="AN280" s="57" t="s">
        <v>40</v>
      </c>
      <c r="AO280" s="167">
        <f t="shared" si="75"/>
        <v>22393.444907611349</v>
      </c>
      <c r="AP280" s="151">
        <f t="shared" si="62"/>
        <v>0.99902392737777934</v>
      </c>
      <c r="AQ280" s="181">
        <f t="shared" si="76"/>
        <v>23189.947779240854</v>
      </c>
      <c r="AR280" s="165">
        <f t="shared" si="63"/>
        <v>-613.83992180133566</v>
      </c>
      <c r="AS280" s="227">
        <v>5.16E-2</v>
      </c>
      <c r="AT280" s="227">
        <v>5.16E-2</v>
      </c>
      <c r="AU280" s="227">
        <f>AVERAGE(AS280:AT280)</f>
        <v>5.16E-2</v>
      </c>
      <c r="AV280" s="165">
        <f t="shared" ref="AV280:AV287" si="84">ROUND((AO280+AW280)/2*AU280,0)</f>
        <v>1160</v>
      </c>
      <c r="AW280" s="181">
        <f t="shared" si="64"/>
        <v>22576.107857439518</v>
      </c>
      <c r="AX280" s="100"/>
      <c r="AY280" s="226"/>
      <c r="AZ280" s="57">
        <v>3</v>
      </c>
      <c r="BA280" s="57" t="s">
        <v>40</v>
      </c>
      <c r="BB280" s="167">
        <f t="shared" si="77"/>
        <v>22576.107857439518</v>
      </c>
      <c r="BC280" s="151">
        <f t="shared" si="65"/>
        <v>0.99902392737777934</v>
      </c>
      <c r="BD280" s="181">
        <f t="shared" si="78"/>
        <v>23562.530231393459</v>
      </c>
      <c r="BE280" s="165">
        <f t="shared" si="66"/>
        <v>-632.50945981446637</v>
      </c>
      <c r="BF280" s="227">
        <v>5.16E-2</v>
      </c>
      <c r="BG280" s="227">
        <v>5.16E-2</v>
      </c>
      <c r="BH280" s="227">
        <f>AVERAGE(BF280:BG280)</f>
        <v>5.16E-2</v>
      </c>
      <c r="BI280" s="165">
        <f t="shared" ref="BI280:BI287" si="85">ROUND((BB280+BJ280)/2*BH280,0)</f>
        <v>1174</v>
      </c>
      <c r="BJ280" s="181">
        <f t="shared" si="67"/>
        <v>22930.020771578991</v>
      </c>
      <c r="BM280" s="57">
        <v>3</v>
      </c>
      <c r="BN280" s="57" t="s">
        <v>40</v>
      </c>
      <c r="BO280" s="167">
        <f t="shared" si="79"/>
        <v>22930.020771578991</v>
      </c>
      <c r="BP280" s="151">
        <f t="shared" si="68"/>
        <v>0.99902392737777934</v>
      </c>
      <c r="BQ280" s="181">
        <f t="shared" si="80"/>
        <v>24087.655942239831</v>
      </c>
      <c r="BR280" s="165">
        <f t="shared" si="69"/>
        <v>-646.48661389388803</v>
      </c>
      <c r="BS280" s="227">
        <v>5.16E-2</v>
      </c>
      <c r="BT280" s="227">
        <v>5.16E-2</v>
      </c>
      <c r="BU280" s="227">
        <f>AVERAGE(BS280:BT280)</f>
        <v>5.16E-2</v>
      </c>
      <c r="BV280" s="165">
        <f t="shared" ref="BV280:BV287" si="86">ROUND((BO280+BW280)/2*BU280,0)</f>
        <v>1196</v>
      </c>
      <c r="BW280" s="181">
        <f t="shared" si="70"/>
        <v>23441.169328345943</v>
      </c>
      <c r="BX280" s="226"/>
      <c r="BY280" s="66"/>
      <c r="BZ280" s="57">
        <v>4</v>
      </c>
      <c r="CA280" s="57" t="s">
        <v>80</v>
      </c>
      <c r="CB280" s="165">
        <f>Input!J14</f>
        <v>21906</v>
      </c>
      <c r="CC280" s="165">
        <f t="shared" si="52"/>
        <v>24756.845520263789</v>
      </c>
      <c r="CD280" s="223">
        <f t="shared" si="53"/>
        <v>0.13013993975457813</v>
      </c>
      <c r="CE280" s="101"/>
      <c r="CF280" s="136"/>
    </row>
    <row r="281" spans="2:94" x14ac:dyDescent="0.25">
      <c r="B281" s="179">
        <v>4</v>
      </c>
      <c r="C281" s="179" t="s">
        <v>80</v>
      </c>
      <c r="D281" s="201">
        <f>Input!J14</f>
        <v>21906</v>
      </c>
      <c r="E281" s="216">
        <f t="shared" si="50"/>
        <v>0.99816290829161558</v>
      </c>
      <c r="F281" s="224">
        <f t="shared" si="71"/>
        <v>20862</v>
      </c>
      <c r="G281" s="201">
        <f t="shared" si="72"/>
        <v>1870.7719529107064</v>
      </c>
      <c r="H281" s="216">
        <f t="shared" si="81"/>
        <v>0.16005</v>
      </c>
      <c r="I281" s="216">
        <f t="shared" ref="I281:I287" si="87">H281</f>
        <v>0.16005</v>
      </c>
      <c r="J281" s="165">
        <f t="shared" si="82"/>
        <v>3572</v>
      </c>
      <c r="K281" s="181">
        <f t="shared" si="54"/>
        <v>22732.771952910705</v>
      </c>
      <c r="M281" s="57">
        <v>4</v>
      </c>
      <c r="N281" s="57" t="s">
        <v>80</v>
      </c>
      <c r="O281" s="167">
        <f t="shared" si="51"/>
        <v>22732.771952910705</v>
      </c>
      <c r="P281" s="151">
        <f t="shared" si="55"/>
        <v>0.99816290829161558</v>
      </c>
      <c r="Q281" s="181">
        <f t="shared" si="73"/>
        <v>21531.534434547466</v>
      </c>
      <c r="R281" s="225">
        <f t="shared" si="56"/>
        <v>1794.0922148974423</v>
      </c>
      <c r="S281" s="227">
        <v>0.16005</v>
      </c>
      <c r="T281" s="227">
        <v>0.16005</v>
      </c>
      <c r="U281" s="227">
        <f t="shared" ref="U281:U287" si="88">AVERAGE(S281:T281)</f>
        <v>0.16005</v>
      </c>
      <c r="V281" s="165">
        <f t="shared" si="83"/>
        <v>3686</v>
      </c>
      <c r="W281" s="181">
        <f t="shared" si="57"/>
        <v>23325.626649444908</v>
      </c>
      <c r="X281" s="74"/>
      <c r="Z281" s="57">
        <v>4</v>
      </c>
      <c r="AA281" s="57" t="s">
        <v>80</v>
      </c>
      <c r="AB281" s="167">
        <f t="shared" si="58"/>
        <v>23325.626649444908</v>
      </c>
      <c r="AC281" s="151">
        <f t="shared" si="59"/>
        <v>0.99816290829161558</v>
      </c>
      <c r="AD281" s="181">
        <f t="shared" si="74"/>
        <v>22687.208580431918</v>
      </c>
      <c r="AE281" s="165">
        <f t="shared" si="60"/>
        <v>1794.4474927931997</v>
      </c>
      <c r="AF281" s="227">
        <v>0.16005</v>
      </c>
      <c r="AG281" s="227">
        <v>0.16005</v>
      </c>
      <c r="AH281" s="227">
        <f t="shared" ref="AH281:AH287" si="89">AVERAGE(AF281:AG281)</f>
        <v>0.16005</v>
      </c>
      <c r="AI281" s="165">
        <f t="shared" ref="AI281:AI287" si="90">ROUND((AB281+AJ281)/2*AH281,0)</f>
        <v>3826</v>
      </c>
      <c r="AJ281" s="181">
        <f t="shared" si="61"/>
        <v>24481.656073225116</v>
      </c>
      <c r="AK281" s="66"/>
      <c r="AL281" s="101"/>
      <c r="AM281" s="57">
        <v>4</v>
      </c>
      <c r="AN281" s="57" t="s">
        <v>80</v>
      </c>
      <c r="AO281" s="167">
        <f t="shared" si="75"/>
        <v>24481.656073225116</v>
      </c>
      <c r="AP281" s="151">
        <f t="shared" si="62"/>
        <v>0.99816290829161558</v>
      </c>
      <c r="AQ281" s="181">
        <f t="shared" si="76"/>
        <v>22371.587279119824</v>
      </c>
      <c r="AR281" s="165">
        <f t="shared" si="63"/>
        <v>1809.3642856601812</v>
      </c>
      <c r="AS281" s="227">
        <v>0.16005</v>
      </c>
      <c r="AT281" s="227">
        <v>0.16005</v>
      </c>
      <c r="AU281" s="227">
        <f t="shared" ref="AU281:AU287" si="91">AVERAGE(AS281:AT281)</f>
        <v>0.16005</v>
      </c>
      <c r="AV281" s="165">
        <f t="shared" si="84"/>
        <v>3894</v>
      </c>
      <c r="AW281" s="181">
        <f t="shared" si="64"/>
        <v>24180.951564780004</v>
      </c>
      <c r="AX281" s="100"/>
      <c r="AY281" s="226"/>
      <c r="AZ281" s="57">
        <v>4</v>
      </c>
      <c r="BA281" s="57" t="s">
        <v>80</v>
      </c>
      <c r="BB281" s="167">
        <f t="shared" si="77"/>
        <v>24180.951564780004</v>
      </c>
      <c r="BC281" s="151">
        <f t="shared" si="65"/>
        <v>0.99816290829161558</v>
      </c>
      <c r="BD281" s="181">
        <f t="shared" si="78"/>
        <v>22554.07193664357</v>
      </c>
      <c r="BE281" s="165">
        <f t="shared" si="66"/>
        <v>1794.4230990190918</v>
      </c>
      <c r="BF281" s="227">
        <v>0.16005</v>
      </c>
      <c r="BG281" s="227">
        <v>0.16005</v>
      </c>
      <c r="BH281" s="227">
        <f t="shared" ref="BH281:BH287" si="92">AVERAGE(BF281:BG281)</f>
        <v>0.16005</v>
      </c>
      <c r="BI281" s="165">
        <f t="shared" si="85"/>
        <v>3884</v>
      </c>
      <c r="BJ281" s="181">
        <f t="shared" si="67"/>
        <v>24348.495035662661</v>
      </c>
      <c r="BM281" s="57">
        <v>4</v>
      </c>
      <c r="BN281" s="57" t="s">
        <v>80</v>
      </c>
      <c r="BO281" s="167">
        <f t="shared" si="79"/>
        <v>24348.495035662661</v>
      </c>
      <c r="BP281" s="151">
        <f t="shared" si="68"/>
        <v>0.99816290829161558</v>
      </c>
      <c r="BQ281" s="181">
        <f t="shared" si="80"/>
        <v>22907.639406076902</v>
      </c>
      <c r="BR281" s="165">
        <f t="shared" si="69"/>
        <v>1849.2061141868855</v>
      </c>
      <c r="BS281" s="227">
        <v>0.16005</v>
      </c>
      <c r="BT281" s="227">
        <v>0.16005</v>
      </c>
      <c r="BU281" s="227">
        <f t="shared" ref="BU281:BU287" si="93">AVERAGE(BS281:BT281)</f>
        <v>0.16005</v>
      </c>
      <c r="BV281" s="165">
        <f t="shared" si="86"/>
        <v>3930</v>
      </c>
      <c r="BW281" s="181">
        <f t="shared" si="70"/>
        <v>24756.845520263789</v>
      </c>
      <c r="BX281" s="226"/>
      <c r="BY281" s="66"/>
      <c r="BZ281" s="57">
        <v>5</v>
      </c>
      <c r="CA281" s="57" t="s">
        <v>81</v>
      </c>
      <c r="CB281" s="165">
        <f>Input!J15</f>
        <v>26144</v>
      </c>
      <c r="CC281" s="165">
        <f t="shared" si="52"/>
        <v>30082.635810776977</v>
      </c>
      <c r="CD281" s="223">
        <f t="shared" si="53"/>
        <v>0.15065161454930298</v>
      </c>
      <c r="CE281" s="101"/>
      <c r="CF281" s="136"/>
    </row>
    <row r="282" spans="2:94" x14ac:dyDescent="0.25">
      <c r="B282" s="179">
        <v>5</v>
      </c>
      <c r="C282" s="179" t="s">
        <v>81</v>
      </c>
      <c r="D282" s="201">
        <f>Input!J15</f>
        <v>26144</v>
      </c>
      <c r="E282" s="216">
        <f t="shared" si="50"/>
        <v>0.99747869364814645</v>
      </c>
      <c r="F282" s="224">
        <f t="shared" si="71"/>
        <v>21866</v>
      </c>
      <c r="G282" s="201">
        <f t="shared" si="72"/>
        <v>5641.9601109692276</v>
      </c>
      <c r="H282" s="216">
        <f t="shared" si="81"/>
        <v>0.21810000000000002</v>
      </c>
      <c r="I282" s="216">
        <f t="shared" si="87"/>
        <v>0.21810000000000002</v>
      </c>
      <c r="J282" s="165">
        <f t="shared" si="82"/>
        <v>5851</v>
      </c>
      <c r="K282" s="181">
        <f t="shared" si="54"/>
        <v>27507.960110969227</v>
      </c>
      <c r="M282" s="57">
        <v>5</v>
      </c>
      <c r="N282" s="57" t="s">
        <v>81</v>
      </c>
      <c r="O282" s="167">
        <f t="shared" si="51"/>
        <v>27507.960110969227</v>
      </c>
      <c r="P282" s="151">
        <f t="shared" si="55"/>
        <v>0.99747869364814645</v>
      </c>
      <c r="Q282" s="181">
        <f t="shared" si="73"/>
        <v>22691.00976604742</v>
      </c>
      <c r="R282" s="225">
        <f t="shared" si="56"/>
        <v>5903.5626274808719</v>
      </c>
      <c r="S282" s="227">
        <v>0.21810000000000002</v>
      </c>
      <c r="T282" s="227">
        <v>0.21810000000000002</v>
      </c>
      <c r="U282" s="227">
        <f t="shared" si="88"/>
        <v>0.21810000000000002</v>
      </c>
      <c r="V282" s="165">
        <f t="shared" si="83"/>
        <v>6118</v>
      </c>
      <c r="W282" s="181">
        <f t="shared" si="57"/>
        <v>28594.572393528291</v>
      </c>
      <c r="X282" s="229"/>
      <c r="Z282" s="57">
        <v>5</v>
      </c>
      <c r="AA282" s="57" t="s">
        <v>81</v>
      </c>
      <c r="AB282" s="167">
        <f t="shared" si="58"/>
        <v>28594.572393528291</v>
      </c>
      <c r="AC282" s="151">
        <f t="shared" si="59"/>
        <v>0.99747869364814645</v>
      </c>
      <c r="AD282" s="181">
        <f t="shared" si="74"/>
        <v>23282.775334134341</v>
      </c>
      <c r="AE282" s="165">
        <f t="shared" si="60"/>
        <v>5741.9934396732915</v>
      </c>
      <c r="AF282" s="227">
        <v>0.21810000000000002</v>
      </c>
      <c r="AG282" s="227">
        <v>0.21810000000000002</v>
      </c>
      <c r="AH282" s="227">
        <f t="shared" si="89"/>
        <v>0.21810000000000002</v>
      </c>
      <c r="AI282" s="165">
        <f t="shared" si="90"/>
        <v>6283</v>
      </c>
      <c r="AJ282" s="181">
        <f t="shared" si="61"/>
        <v>29024.768773807635</v>
      </c>
      <c r="AK282" s="66"/>
      <c r="AL282" s="101"/>
      <c r="AM282" s="57">
        <v>5</v>
      </c>
      <c r="AN282" s="57" t="s">
        <v>81</v>
      </c>
      <c r="AO282" s="167">
        <f t="shared" si="75"/>
        <v>29024.768773807635</v>
      </c>
      <c r="AP282" s="151">
        <f t="shared" si="62"/>
        <v>0.99747869364814645</v>
      </c>
      <c r="AQ282" s="181">
        <f t="shared" si="76"/>
        <v>24436.681025845475</v>
      </c>
      <c r="AR282" s="165">
        <f t="shared" si="63"/>
        <v>5756.9417889512024</v>
      </c>
      <c r="AS282" s="227">
        <v>0.21810000000000002</v>
      </c>
      <c r="AT282" s="227">
        <v>0.21810000000000002</v>
      </c>
      <c r="AU282" s="227">
        <f t="shared" si="91"/>
        <v>0.21810000000000002</v>
      </c>
      <c r="AV282" s="165">
        <f t="shared" si="84"/>
        <v>6458</v>
      </c>
      <c r="AW282" s="181">
        <f t="shared" si="64"/>
        <v>30193.622814796676</v>
      </c>
      <c r="AX282" s="100"/>
      <c r="AY282" s="226"/>
      <c r="AZ282" s="57">
        <v>5</v>
      </c>
      <c r="BA282" s="57" t="s">
        <v>81</v>
      </c>
      <c r="BB282" s="167">
        <f t="shared" si="77"/>
        <v>30193.622814796676</v>
      </c>
      <c r="BC282" s="151">
        <f t="shared" si="65"/>
        <v>0.99747869364814645</v>
      </c>
      <c r="BD282" s="181">
        <f t="shared" si="78"/>
        <v>24136.5289391595</v>
      </c>
      <c r="BE282" s="165">
        <f t="shared" si="66"/>
        <v>5814.4419673249949</v>
      </c>
      <c r="BF282" s="227">
        <v>0.21810000000000002</v>
      </c>
      <c r="BG282" s="227">
        <v>0.21810000000000002</v>
      </c>
      <c r="BH282" s="227">
        <f t="shared" si="92"/>
        <v>0.21810000000000002</v>
      </c>
      <c r="BI282" s="165">
        <f t="shared" si="85"/>
        <v>6559</v>
      </c>
      <c r="BJ282" s="181">
        <f t="shared" si="67"/>
        <v>29950.970906484494</v>
      </c>
      <c r="BM282" s="57">
        <v>5</v>
      </c>
      <c r="BN282" s="57" t="s">
        <v>81</v>
      </c>
      <c r="BO282" s="167">
        <f t="shared" si="79"/>
        <v>29950.970906484494</v>
      </c>
      <c r="BP282" s="151">
        <f t="shared" si="68"/>
        <v>0.99747869364814645</v>
      </c>
      <c r="BQ282" s="181">
        <f t="shared" si="80"/>
        <v>24303.764617321005</v>
      </c>
      <c r="BR282" s="165">
        <f t="shared" si="69"/>
        <v>5778.8711934559733</v>
      </c>
      <c r="BS282" s="227">
        <v>0.21810000000000002</v>
      </c>
      <c r="BT282" s="227">
        <v>0.21810000000000002</v>
      </c>
      <c r="BU282" s="227">
        <f t="shared" si="93"/>
        <v>0.21810000000000002</v>
      </c>
      <c r="BV282" s="165">
        <f t="shared" si="86"/>
        <v>6547</v>
      </c>
      <c r="BW282" s="181">
        <f t="shared" si="70"/>
        <v>30082.635810776977</v>
      </c>
      <c r="BX282" s="226"/>
      <c r="BY282" s="66"/>
      <c r="BZ282" s="57">
        <v>6</v>
      </c>
      <c r="CA282" s="57" t="s">
        <v>82</v>
      </c>
      <c r="CB282" s="165">
        <f>Input!J16</f>
        <v>31514</v>
      </c>
      <c r="CC282" s="165">
        <f t="shared" si="52"/>
        <v>33190.150360972308</v>
      </c>
      <c r="CD282" s="223">
        <f t="shared" si="53"/>
        <v>5.3187483688909937E-2</v>
      </c>
      <c r="CE282" s="101"/>
      <c r="CF282" s="136"/>
    </row>
    <row r="283" spans="2:94" x14ac:dyDescent="0.25">
      <c r="B283" s="179">
        <v>6</v>
      </c>
      <c r="C283" s="179" t="s">
        <v>82</v>
      </c>
      <c r="D283" s="201">
        <f>Input!J16</f>
        <v>31514</v>
      </c>
      <c r="E283" s="216">
        <f t="shared" si="50"/>
        <v>0.99683837535836639</v>
      </c>
      <c r="F283" s="224">
        <f t="shared" si="71"/>
        <v>26078</v>
      </c>
      <c r="G283" s="201">
        <f t="shared" si="72"/>
        <v>3025.0848342442632</v>
      </c>
      <c r="H283" s="216">
        <f t="shared" si="81"/>
        <v>0.22970000000000002</v>
      </c>
      <c r="I283" s="216">
        <f t="shared" si="87"/>
        <v>0.22970000000000002</v>
      </c>
      <c r="J283" s="165">
        <f t="shared" si="82"/>
        <v>6962</v>
      </c>
      <c r="K283" s="181">
        <f t="shared" si="54"/>
        <v>29103.084834244262</v>
      </c>
      <c r="M283" s="57">
        <v>6</v>
      </c>
      <c r="N283" s="57" t="s">
        <v>82</v>
      </c>
      <c r="O283" s="167">
        <f t="shared" si="51"/>
        <v>29103.084834244262</v>
      </c>
      <c r="P283" s="151">
        <f t="shared" si="55"/>
        <v>0.99683837535836639</v>
      </c>
      <c r="Q283" s="181">
        <f t="shared" si="73"/>
        <v>27438.604116414906</v>
      </c>
      <c r="R283" s="225">
        <f t="shared" si="56"/>
        <v>3186.9176807875274</v>
      </c>
      <c r="S283" s="227">
        <v>0.22970000000000002</v>
      </c>
      <c r="T283" s="227">
        <v>0.22970000000000002</v>
      </c>
      <c r="U283" s="227">
        <f t="shared" si="88"/>
        <v>0.22970000000000002</v>
      </c>
      <c r="V283" s="165">
        <f t="shared" si="83"/>
        <v>6860</v>
      </c>
      <c r="W283" s="181">
        <f t="shared" si="57"/>
        <v>30625.521797202433</v>
      </c>
      <c r="X283" s="229"/>
      <c r="Z283" s="57">
        <v>6</v>
      </c>
      <c r="AA283" s="57" t="s">
        <v>82</v>
      </c>
      <c r="AB283" s="167">
        <f t="shared" si="58"/>
        <v>30625.521797202433</v>
      </c>
      <c r="AC283" s="151">
        <f t="shared" si="59"/>
        <v>0.99683837535836639</v>
      </c>
      <c r="AD283" s="181">
        <f t="shared" si="74"/>
        <v>28522.476716523954</v>
      </c>
      <c r="AE283" s="165">
        <f t="shared" si="60"/>
        <v>3341.4180712457278</v>
      </c>
      <c r="AF283" s="227">
        <v>0.22970000000000002</v>
      </c>
      <c r="AG283" s="227">
        <v>0.22970000000000002</v>
      </c>
      <c r="AH283" s="227">
        <f t="shared" si="89"/>
        <v>0.22970000000000002</v>
      </c>
      <c r="AI283" s="165">
        <f t="shared" si="90"/>
        <v>7177</v>
      </c>
      <c r="AJ283" s="181">
        <f t="shared" si="61"/>
        <v>31863.894787769681</v>
      </c>
      <c r="AK283" s="66"/>
      <c r="AL283" s="101"/>
      <c r="AM283" s="57">
        <v>6</v>
      </c>
      <c r="AN283" s="57" t="s">
        <v>82</v>
      </c>
      <c r="AO283" s="167">
        <f t="shared" si="75"/>
        <v>31863.894787769681</v>
      </c>
      <c r="AP283" s="151">
        <f t="shared" si="62"/>
        <v>0.99683837535836639</v>
      </c>
      <c r="AQ283" s="181">
        <f t="shared" si="76"/>
        <v>28951.588439937153</v>
      </c>
      <c r="AR283" s="165">
        <f t="shared" si="63"/>
        <v>3261.576992010695</v>
      </c>
      <c r="AS283" s="227">
        <v>0.22970000000000002</v>
      </c>
      <c r="AT283" s="227">
        <v>0.22970000000000002</v>
      </c>
      <c r="AU283" s="227">
        <f t="shared" si="91"/>
        <v>0.22970000000000002</v>
      </c>
      <c r="AV283" s="165">
        <f t="shared" si="84"/>
        <v>7359</v>
      </c>
      <c r="AW283" s="181">
        <f t="shared" si="64"/>
        <v>32213.165431947848</v>
      </c>
      <c r="AX283" s="100"/>
      <c r="AY283" s="226"/>
      <c r="AZ283" s="57">
        <v>6</v>
      </c>
      <c r="BA283" s="57" t="s">
        <v>82</v>
      </c>
      <c r="BB283" s="167">
        <f t="shared" si="77"/>
        <v>32213.165431947848</v>
      </c>
      <c r="BC283" s="151">
        <f t="shared" si="65"/>
        <v>0.99683837535836639</v>
      </c>
      <c r="BD283" s="181">
        <f t="shared" si="78"/>
        <v>30117.49544180826</v>
      </c>
      <c r="BE283" s="165">
        <f t="shared" si="66"/>
        <v>3277.0540844638058</v>
      </c>
      <c r="BF283" s="227">
        <v>0.22970000000000002</v>
      </c>
      <c r="BG283" s="227">
        <v>0.22970000000000002</v>
      </c>
      <c r="BH283" s="227">
        <f t="shared" si="92"/>
        <v>0.22970000000000002</v>
      </c>
      <c r="BI283" s="165">
        <f t="shared" si="85"/>
        <v>7535</v>
      </c>
      <c r="BJ283" s="181">
        <f t="shared" si="67"/>
        <v>33394.549526272065</v>
      </c>
      <c r="BM283" s="57">
        <v>6</v>
      </c>
      <c r="BN283" s="57" t="s">
        <v>82</v>
      </c>
      <c r="BO283" s="167">
        <f t="shared" si="79"/>
        <v>33394.549526272065</v>
      </c>
      <c r="BP283" s="151">
        <f t="shared" si="68"/>
        <v>0.99683837535836639</v>
      </c>
      <c r="BQ283" s="181">
        <f t="shared" si="80"/>
        <v>29875.455333293794</v>
      </c>
      <c r="BR283" s="165">
        <f t="shared" si="69"/>
        <v>3314.6950276785119</v>
      </c>
      <c r="BS283" s="227">
        <v>0.22970000000000002</v>
      </c>
      <c r="BT283" s="227">
        <v>0.22970000000000002</v>
      </c>
      <c r="BU283" s="227">
        <f t="shared" si="93"/>
        <v>0.22970000000000002</v>
      </c>
      <c r="BV283" s="165">
        <f t="shared" si="86"/>
        <v>7647</v>
      </c>
      <c r="BW283" s="181">
        <f t="shared" si="70"/>
        <v>33190.150360972308</v>
      </c>
      <c r="BX283" s="226"/>
      <c r="BY283" s="66"/>
      <c r="BZ283" s="57">
        <v>7</v>
      </c>
      <c r="CA283" s="57" t="s">
        <v>83</v>
      </c>
      <c r="CB283" s="165">
        <f>Input!J17</f>
        <v>29579</v>
      </c>
      <c r="CC283" s="165">
        <f t="shared" si="52"/>
        <v>31864.972043437818</v>
      </c>
      <c r="CD283" s="223">
        <f t="shared" si="53"/>
        <v>7.7283614842889134E-2</v>
      </c>
      <c r="CE283" s="101"/>
      <c r="CF283" s="136"/>
    </row>
    <row r="284" spans="2:94" x14ac:dyDescent="0.25">
      <c r="B284" s="179">
        <v>7</v>
      </c>
      <c r="C284" s="179" t="s">
        <v>83</v>
      </c>
      <c r="D284" s="201">
        <f>Input!J17</f>
        <v>29579</v>
      </c>
      <c r="E284" s="216">
        <f t="shared" si="50"/>
        <v>0.99569053533060059</v>
      </c>
      <c r="F284" s="224">
        <f t="shared" si="71"/>
        <v>31414</v>
      </c>
      <c r="G284" s="201">
        <f t="shared" si="72"/>
        <v>-1207.2414883731878</v>
      </c>
      <c r="H284" s="216">
        <f t="shared" si="81"/>
        <v>0.18809999999999999</v>
      </c>
      <c r="I284" s="216">
        <f t="shared" si="87"/>
        <v>0.18809999999999999</v>
      </c>
      <c r="J284" s="165">
        <f t="shared" si="82"/>
        <v>5623</v>
      </c>
      <c r="K284" s="181">
        <f t="shared" si="54"/>
        <v>30206.758511626813</v>
      </c>
      <c r="M284" s="57">
        <v>7</v>
      </c>
      <c r="N284" s="57" t="s">
        <v>83</v>
      </c>
      <c r="O284" s="167">
        <f t="shared" si="51"/>
        <v>30206.758511626813</v>
      </c>
      <c r="P284" s="151">
        <f t="shared" si="55"/>
        <v>0.99569053533060059</v>
      </c>
      <c r="Q284" s="181">
        <f t="shared" si="73"/>
        <v>29011.071804084761</v>
      </c>
      <c r="R284" s="225">
        <f t="shared" si="56"/>
        <v>-1302.600686134572</v>
      </c>
      <c r="S284" s="227">
        <v>0.18809999999999999</v>
      </c>
      <c r="T284" s="227">
        <v>0.18809999999999999</v>
      </c>
      <c r="U284" s="227">
        <f t="shared" si="88"/>
        <v>0.18809999999999999</v>
      </c>
      <c r="V284" s="165">
        <f t="shared" si="83"/>
        <v>5447</v>
      </c>
      <c r="W284" s="181">
        <f t="shared" si="57"/>
        <v>27708.47111795019</v>
      </c>
      <c r="X284" s="229"/>
      <c r="Z284" s="57">
        <v>7</v>
      </c>
      <c r="AA284" s="57" t="s">
        <v>83</v>
      </c>
      <c r="AB284" s="167">
        <f t="shared" si="58"/>
        <v>27708.47111795019</v>
      </c>
      <c r="AC284" s="151">
        <f t="shared" si="59"/>
        <v>0.99569053533060059</v>
      </c>
      <c r="AD284" s="181">
        <f t="shared" si="74"/>
        <v>30528.69539282551</v>
      </c>
      <c r="AE284" s="165">
        <f t="shared" si="60"/>
        <v>-1379.4244804132836</v>
      </c>
      <c r="AF284" s="227">
        <v>0.18809999999999999</v>
      </c>
      <c r="AG284" s="227">
        <v>0.18809999999999999</v>
      </c>
      <c r="AH284" s="227">
        <f t="shared" si="89"/>
        <v>0.18809999999999999</v>
      </c>
      <c r="AI284" s="165">
        <f t="shared" si="90"/>
        <v>5347</v>
      </c>
      <c r="AJ284" s="181">
        <f t="shared" si="61"/>
        <v>29149.270912412227</v>
      </c>
      <c r="AK284" s="66"/>
      <c r="AL284" s="101"/>
      <c r="AM284" s="57">
        <v>7</v>
      </c>
      <c r="AN284" s="57" t="s">
        <v>83</v>
      </c>
      <c r="AO284" s="167">
        <f t="shared" si="75"/>
        <v>29149.270912412227</v>
      </c>
      <c r="AP284" s="151">
        <f t="shared" si="62"/>
        <v>0.99569053533060059</v>
      </c>
      <c r="AQ284" s="181">
        <f t="shared" si="76"/>
        <v>31763.153112830249</v>
      </c>
      <c r="AR284" s="165">
        <f t="shared" si="63"/>
        <v>-1446.4058200189402</v>
      </c>
      <c r="AS284" s="227">
        <v>0.18809999999999999</v>
      </c>
      <c r="AT284" s="227">
        <v>0.18809999999999999</v>
      </c>
      <c r="AU284" s="227">
        <f t="shared" si="91"/>
        <v>0.18809999999999999</v>
      </c>
      <c r="AV284" s="165">
        <f t="shared" si="84"/>
        <v>5593</v>
      </c>
      <c r="AW284" s="181">
        <f t="shared" si="64"/>
        <v>30316.747292811309</v>
      </c>
      <c r="AX284" s="100"/>
      <c r="AY284" s="226"/>
      <c r="AZ284" s="57">
        <v>7</v>
      </c>
      <c r="BA284" s="57" t="s">
        <v>83</v>
      </c>
      <c r="BB284" s="167">
        <f t="shared" si="77"/>
        <v>30316.747292811309</v>
      </c>
      <c r="BC284" s="151">
        <f t="shared" si="65"/>
        <v>0.99569053533060059</v>
      </c>
      <c r="BD284" s="181">
        <f t="shared" si="78"/>
        <v>32111.31949433318</v>
      </c>
      <c r="BE284" s="165">
        <f t="shared" si="66"/>
        <v>-1415.3467506422751</v>
      </c>
      <c r="BF284" s="227">
        <v>0.18809999999999999</v>
      </c>
      <c r="BG284" s="227">
        <v>0.18809999999999999</v>
      </c>
      <c r="BH284" s="227">
        <f t="shared" si="92"/>
        <v>0.18809999999999999</v>
      </c>
      <c r="BI284" s="165">
        <f t="shared" si="85"/>
        <v>5738</v>
      </c>
      <c r="BJ284" s="181">
        <f t="shared" si="67"/>
        <v>30695.972743690905</v>
      </c>
      <c r="BM284" s="57">
        <v>7</v>
      </c>
      <c r="BN284" s="57" t="s">
        <v>83</v>
      </c>
      <c r="BO284" s="167">
        <f t="shared" si="79"/>
        <v>30695.972743690905</v>
      </c>
      <c r="BP284" s="151">
        <f t="shared" si="68"/>
        <v>0.99569053533060059</v>
      </c>
      <c r="BQ284" s="181">
        <f t="shared" si="80"/>
        <v>33288.968495593552</v>
      </c>
      <c r="BR284" s="165">
        <f t="shared" si="69"/>
        <v>-1423.9964521557338</v>
      </c>
      <c r="BS284" s="227">
        <v>0.18809999999999999</v>
      </c>
      <c r="BT284" s="227">
        <v>0.18809999999999999</v>
      </c>
      <c r="BU284" s="227">
        <f t="shared" si="93"/>
        <v>0.18809999999999999</v>
      </c>
      <c r="BV284" s="165">
        <f t="shared" si="86"/>
        <v>5884</v>
      </c>
      <c r="BW284" s="181">
        <f t="shared" si="70"/>
        <v>31864.972043437818</v>
      </c>
      <c r="BX284" s="226"/>
      <c r="BY284" s="66"/>
      <c r="BZ284" s="57">
        <v>8</v>
      </c>
      <c r="CA284" s="57" t="s">
        <v>84</v>
      </c>
      <c r="CB284" s="165">
        <f>Input!J18</f>
        <v>28245</v>
      </c>
      <c r="CC284" s="165">
        <f t="shared" si="52"/>
        <v>28456.188374972884</v>
      </c>
      <c r="CD284" s="223">
        <f t="shared" si="53"/>
        <v>7.4770180553331228E-3</v>
      </c>
      <c r="CE284" s="101"/>
      <c r="CF284" s="136"/>
    </row>
    <row r="285" spans="2:94" x14ac:dyDescent="0.25">
      <c r="B285" s="179">
        <v>8</v>
      </c>
      <c r="C285" s="179" t="s">
        <v>84</v>
      </c>
      <c r="D285" s="201">
        <f>Input!J18</f>
        <v>28245</v>
      </c>
      <c r="E285" s="216">
        <f t="shared" si="50"/>
        <v>0.99376596133263539</v>
      </c>
      <c r="F285" s="224">
        <f t="shared" si="71"/>
        <v>29452</v>
      </c>
      <c r="G285" s="201">
        <f t="shared" si="72"/>
        <v>-1790.9676490928764</v>
      </c>
      <c r="H285" s="216">
        <f t="shared" si="81"/>
        <v>8.5400000000000004E-2</v>
      </c>
      <c r="I285" s="216">
        <f t="shared" si="87"/>
        <v>8.5400000000000004E-2</v>
      </c>
      <c r="J285" s="165">
        <f t="shared" si="82"/>
        <v>2387</v>
      </c>
      <c r="K285" s="181">
        <f t="shared" si="54"/>
        <v>27661.032350907124</v>
      </c>
      <c r="M285" s="57">
        <v>8</v>
      </c>
      <c r="N285" s="57" t="s">
        <v>84</v>
      </c>
      <c r="O285" s="167">
        <f t="shared" si="51"/>
        <v>27661.032350907124</v>
      </c>
      <c r="P285" s="151">
        <f t="shared" si="55"/>
        <v>0.99376596133263539</v>
      </c>
      <c r="Q285" s="181">
        <f t="shared" si="73"/>
        <v>30076.583553043878</v>
      </c>
      <c r="R285" s="225">
        <f t="shared" si="56"/>
        <v>-1795.9126929459462</v>
      </c>
      <c r="S285" s="227">
        <v>8.5400000000000004E-2</v>
      </c>
      <c r="T285" s="227">
        <v>8.5400000000000004E-2</v>
      </c>
      <c r="U285" s="227">
        <f t="shared" si="88"/>
        <v>8.5400000000000004E-2</v>
      </c>
      <c r="V285" s="165">
        <f t="shared" si="83"/>
        <v>2389</v>
      </c>
      <c r="W285" s="181">
        <f t="shared" si="57"/>
        <v>28280.670860097933</v>
      </c>
      <c r="X285" s="229"/>
      <c r="Z285" s="57">
        <v>8</v>
      </c>
      <c r="AA285" s="57" t="s">
        <v>84</v>
      </c>
      <c r="AB285" s="167">
        <f t="shared" si="58"/>
        <v>28280.670860097933</v>
      </c>
      <c r="AC285" s="151">
        <f t="shared" si="59"/>
        <v>0.99376596133263539</v>
      </c>
      <c r="AD285" s="181">
        <f t="shared" si="74"/>
        <v>27589.062440624311</v>
      </c>
      <c r="AE285" s="165">
        <f t="shared" si="60"/>
        <v>-1936.4444404259871</v>
      </c>
      <c r="AF285" s="227">
        <v>8.5400000000000004E-2</v>
      </c>
      <c r="AG285" s="227">
        <v>8.5400000000000004E-2</v>
      </c>
      <c r="AH285" s="227">
        <f t="shared" si="89"/>
        <v>8.5400000000000004E-2</v>
      </c>
      <c r="AI285" s="165">
        <f t="shared" si="90"/>
        <v>2303</v>
      </c>
      <c r="AJ285" s="181">
        <f t="shared" si="61"/>
        <v>25652.618000198323</v>
      </c>
      <c r="AK285" s="66"/>
      <c r="AL285" s="101"/>
      <c r="AM285" s="57">
        <v>8</v>
      </c>
      <c r="AN285" s="57" t="s">
        <v>84</v>
      </c>
      <c r="AO285" s="167">
        <f t="shared" si="75"/>
        <v>25652.618000198323</v>
      </c>
      <c r="AP285" s="151">
        <f t="shared" si="62"/>
        <v>0.99376596133263539</v>
      </c>
      <c r="AQ285" s="181">
        <f t="shared" si="76"/>
        <v>29023.653159276433</v>
      </c>
      <c r="AR285" s="165">
        <f t="shared" si="63"/>
        <v>-2050.4980936054831</v>
      </c>
      <c r="AS285" s="227">
        <v>8.5400000000000004E-2</v>
      </c>
      <c r="AT285" s="227">
        <v>8.5400000000000004E-2</v>
      </c>
      <c r="AU285" s="227">
        <f t="shared" si="91"/>
        <v>8.5400000000000004E-2</v>
      </c>
      <c r="AV285" s="165">
        <f t="shared" si="84"/>
        <v>2247</v>
      </c>
      <c r="AW285" s="181">
        <f t="shared" si="64"/>
        <v>26973.155065670951</v>
      </c>
      <c r="AX285" s="100"/>
      <c r="AY285" s="226"/>
      <c r="AZ285" s="57">
        <v>8</v>
      </c>
      <c r="BA285" s="57" t="s">
        <v>84</v>
      </c>
      <c r="BB285" s="167">
        <f t="shared" si="77"/>
        <v>26973.155065670951</v>
      </c>
      <c r="BC285" s="151">
        <f t="shared" si="65"/>
        <v>0.99376596133263539</v>
      </c>
      <c r="BD285" s="181">
        <f t="shared" si="78"/>
        <v>30186.098341461828</v>
      </c>
      <c r="BE285" s="165">
        <f t="shared" si="66"/>
        <v>-2150.5018933482688</v>
      </c>
      <c r="BF285" s="227">
        <v>8.5400000000000004E-2</v>
      </c>
      <c r="BG285" s="227">
        <v>8.5400000000000004E-2</v>
      </c>
      <c r="BH285" s="227">
        <f t="shared" si="92"/>
        <v>8.5400000000000004E-2</v>
      </c>
      <c r="BI285" s="165">
        <f t="shared" si="85"/>
        <v>2349</v>
      </c>
      <c r="BJ285" s="181">
        <f t="shared" si="67"/>
        <v>28035.59644811356</v>
      </c>
      <c r="BM285" s="57">
        <v>8</v>
      </c>
      <c r="BN285" s="57" t="s">
        <v>84</v>
      </c>
      <c r="BO285" s="167">
        <f t="shared" si="79"/>
        <v>28035.59644811356</v>
      </c>
      <c r="BP285" s="151">
        <f t="shared" si="68"/>
        <v>0.99376596133263539</v>
      </c>
      <c r="BQ285" s="181">
        <f t="shared" si="80"/>
        <v>30563.689533659122</v>
      </c>
      <c r="BR285" s="165">
        <f t="shared" si="69"/>
        <v>-2107.501158686237</v>
      </c>
      <c r="BS285" s="227">
        <v>8.5400000000000004E-2</v>
      </c>
      <c r="BT285" s="227">
        <v>8.5400000000000004E-2</v>
      </c>
      <c r="BU285" s="227">
        <f t="shared" si="93"/>
        <v>8.5400000000000004E-2</v>
      </c>
      <c r="BV285" s="165">
        <f t="shared" si="86"/>
        <v>2412</v>
      </c>
      <c r="BW285" s="181">
        <f t="shared" si="70"/>
        <v>28456.188374972884</v>
      </c>
      <c r="BX285" s="226"/>
      <c r="BY285" s="66"/>
      <c r="BZ285" s="57">
        <v>9</v>
      </c>
      <c r="CA285" s="57" t="s">
        <v>85</v>
      </c>
      <c r="CB285" s="165">
        <f>Input!J19</f>
        <v>26511</v>
      </c>
      <c r="CC285" s="165">
        <f t="shared" si="52"/>
        <v>25858.928572166569</v>
      </c>
      <c r="CD285" s="223">
        <f t="shared" si="53"/>
        <v>-2.4596259206873781E-2</v>
      </c>
      <c r="CE285" s="101"/>
      <c r="CF285" s="136"/>
    </row>
    <row r="286" spans="2:94" x14ac:dyDescent="0.25">
      <c r="B286" s="179">
        <v>9</v>
      </c>
      <c r="C286" s="179" t="s">
        <v>85</v>
      </c>
      <c r="D286" s="201">
        <f>Input!J19</f>
        <v>26511</v>
      </c>
      <c r="E286" s="216">
        <f t="shared" si="50"/>
        <v>0.9901344260174354</v>
      </c>
      <c r="F286" s="224">
        <f t="shared" si="71"/>
        <v>28069</v>
      </c>
      <c r="G286" s="201">
        <f t="shared" si="72"/>
        <v>-1704.2574373113227</v>
      </c>
      <c r="H286" s="216">
        <f t="shared" si="81"/>
        <v>1.8200000000000001E-2</v>
      </c>
      <c r="I286" s="216">
        <f t="shared" si="87"/>
        <v>1.8200000000000001E-2</v>
      </c>
      <c r="J286" s="165">
        <f t="shared" si="82"/>
        <v>481</v>
      </c>
      <c r="K286" s="181">
        <f t="shared" si="54"/>
        <v>26364.742562688676</v>
      </c>
      <c r="M286" s="57">
        <v>9</v>
      </c>
      <c r="N286" s="57" t="s">
        <v>85</v>
      </c>
      <c r="O286" s="167">
        <f t="shared" si="51"/>
        <v>26364.742562688676</v>
      </c>
      <c r="P286" s="151">
        <f t="shared" si="55"/>
        <v>0.9901344260174354</v>
      </c>
      <c r="Q286" s="181">
        <f t="shared" si="73"/>
        <v>27488.592405652347</v>
      </c>
      <c r="R286" s="225">
        <f t="shared" si="56"/>
        <v>-1648.4724454681411</v>
      </c>
      <c r="S286" s="227">
        <v>1.8200000000000001E-2</v>
      </c>
      <c r="T286" s="227">
        <v>1.8200000000000001E-2</v>
      </c>
      <c r="U286" s="227">
        <f t="shared" si="88"/>
        <v>1.8200000000000001E-2</v>
      </c>
      <c r="V286" s="165">
        <f t="shared" si="83"/>
        <v>475</v>
      </c>
      <c r="W286" s="181">
        <f t="shared" si="57"/>
        <v>25840.119960184205</v>
      </c>
      <c r="X286" s="229"/>
      <c r="Z286" s="57">
        <v>9</v>
      </c>
      <c r="AA286" s="57" t="s">
        <v>85</v>
      </c>
      <c r="AB286" s="167">
        <f t="shared" si="58"/>
        <v>25840.119960184205</v>
      </c>
      <c r="AC286" s="151">
        <f t="shared" si="59"/>
        <v>0.9901344260174354</v>
      </c>
      <c r="AD286" s="181">
        <f t="shared" si="74"/>
        <v>28104.368064417071</v>
      </c>
      <c r="AE286" s="165">
        <f t="shared" si="60"/>
        <v>-1671.5878354728884</v>
      </c>
      <c r="AF286" s="227">
        <v>1.8200000000000001E-2</v>
      </c>
      <c r="AG286" s="227">
        <v>1.8200000000000001E-2</v>
      </c>
      <c r="AH286" s="227">
        <f t="shared" si="89"/>
        <v>1.8200000000000001E-2</v>
      </c>
      <c r="AI286" s="165">
        <f t="shared" si="90"/>
        <v>476</v>
      </c>
      <c r="AJ286" s="181">
        <f t="shared" si="61"/>
        <v>26432.780228944182</v>
      </c>
      <c r="AK286" s="66"/>
      <c r="AL286" s="101"/>
      <c r="AM286" s="57">
        <v>9</v>
      </c>
      <c r="AN286" s="57" t="s">
        <v>85</v>
      </c>
      <c r="AO286" s="167">
        <f t="shared" si="75"/>
        <v>26432.780228944182</v>
      </c>
      <c r="AP286" s="151">
        <f t="shared" si="62"/>
        <v>0.9901344260174354</v>
      </c>
      <c r="AQ286" s="181">
        <f t="shared" si="76"/>
        <v>25492.698587665953</v>
      </c>
      <c r="AR286" s="165">
        <f t="shared" si="63"/>
        <v>-1801.8548306427156</v>
      </c>
      <c r="AS286" s="227">
        <v>1.8200000000000001E-2</v>
      </c>
      <c r="AT286" s="227">
        <v>1.8200000000000001E-2</v>
      </c>
      <c r="AU286" s="227">
        <f t="shared" si="91"/>
        <v>1.8200000000000001E-2</v>
      </c>
      <c r="AV286" s="165">
        <f t="shared" si="84"/>
        <v>456</v>
      </c>
      <c r="AW286" s="181">
        <f t="shared" si="64"/>
        <v>23690.843757023238</v>
      </c>
      <c r="AX286" s="100"/>
      <c r="AY286" s="226"/>
      <c r="AZ286" s="57">
        <v>9</v>
      </c>
      <c r="BA286" s="57" t="s">
        <v>85</v>
      </c>
      <c r="BB286" s="167">
        <f t="shared" si="77"/>
        <v>23690.843757023238</v>
      </c>
      <c r="BC286" s="151">
        <f t="shared" si="65"/>
        <v>0.9901344260174354</v>
      </c>
      <c r="BD286" s="181">
        <f t="shared" si="78"/>
        <v>26805.003374010736</v>
      </c>
      <c r="BE286" s="165">
        <f t="shared" si="66"/>
        <v>-1908.4466294896731</v>
      </c>
      <c r="BF286" s="227">
        <v>1.8200000000000001E-2</v>
      </c>
      <c r="BG286" s="227">
        <v>1.8200000000000001E-2</v>
      </c>
      <c r="BH286" s="227">
        <f t="shared" si="92"/>
        <v>1.8200000000000001E-2</v>
      </c>
      <c r="BI286" s="165">
        <f t="shared" si="85"/>
        <v>442</v>
      </c>
      <c r="BJ286" s="181">
        <f t="shared" si="67"/>
        <v>24896.556744521062</v>
      </c>
      <c r="BM286" s="57">
        <v>9</v>
      </c>
      <c r="BN286" s="57" t="s">
        <v>85</v>
      </c>
      <c r="BO286" s="167">
        <f t="shared" si="79"/>
        <v>24896.556744521062</v>
      </c>
      <c r="BP286" s="151">
        <f t="shared" si="68"/>
        <v>0.9901344260174354</v>
      </c>
      <c r="BQ286" s="181">
        <f t="shared" si="80"/>
        <v>27860.82145579339</v>
      </c>
      <c r="BR286" s="165">
        <f t="shared" si="69"/>
        <v>-2001.8928836268215</v>
      </c>
      <c r="BS286" s="227">
        <v>1.8200000000000001E-2</v>
      </c>
      <c r="BT286" s="227">
        <v>1.8200000000000001E-2</v>
      </c>
      <c r="BU286" s="227">
        <f t="shared" si="93"/>
        <v>1.8200000000000001E-2</v>
      </c>
      <c r="BV286" s="165">
        <f t="shared" si="86"/>
        <v>462</v>
      </c>
      <c r="BW286" s="181">
        <f t="shared" si="70"/>
        <v>25858.928572166569</v>
      </c>
      <c r="BX286" s="226"/>
      <c r="BY286" s="66"/>
      <c r="BZ286" s="57">
        <v>10</v>
      </c>
      <c r="CA286" s="57" t="s">
        <v>86</v>
      </c>
      <c r="CB286" s="165">
        <f>Input!J20</f>
        <v>26424</v>
      </c>
      <c r="CC286" s="165">
        <f t="shared" si="52"/>
        <v>23586.002291076853</v>
      </c>
      <c r="CD286" s="223">
        <f t="shared" si="53"/>
        <v>-0.107402274785163</v>
      </c>
      <c r="CE286" s="101"/>
      <c r="CF286" s="136"/>
    </row>
    <row r="287" spans="2:94" x14ac:dyDescent="0.25">
      <c r="B287" s="179">
        <v>10</v>
      </c>
      <c r="C287" s="179" t="s">
        <v>86</v>
      </c>
      <c r="D287" s="201">
        <f>Input!J20</f>
        <v>26424</v>
      </c>
      <c r="E287" s="216">
        <f t="shared" si="50"/>
        <v>0.98461971579785645</v>
      </c>
      <c r="F287" s="224">
        <f t="shared" si="71"/>
        <v>26249</v>
      </c>
      <c r="G287" s="201">
        <f t="shared" si="72"/>
        <v>-1035.8967562360112</v>
      </c>
      <c r="H287" s="216">
        <f t="shared" si="81"/>
        <v>8.4999999999999995E-4</v>
      </c>
      <c r="I287" s="216">
        <f t="shared" si="87"/>
        <v>8.4999999999999995E-4</v>
      </c>
      <c r="J287" s="165">
        <f t="shared" si="82"/>
        <v>22</v>
      </c>
      <c r="K287" s="181">
        <f t="shared" si="54"/>
        <v>25213.103243763988</v>
      </c>
      <c r="M287" s="57">
        <v>10</v>
      </c>
      <c r="N287" s="57" t="s">
        <v>86</v>
      </c>
      <c r="O287" s="167">
        <f t="shared" si="51"/>
        <v>25213.103243763988</v>
      </c>
      <c r="P287" s="151">
        <f t="shared" si="55"/>
        <v>0.98461971579785645</v>
      </c>
      <c r="Q287" s="181">
        <f t="shared" si="73"/>
        <v>26104.6392444052</v>
      </c>
      <c r="R287" s="225">
        <f t="shared" si="56"/>
        <v>-945.23261876190395</v>
      </c>
      <c r="S287" s="227">
        <v>8.4999999999999995E-4</v>
      </c>
      <c r="T287" s="227">
        <v>8.4999999999999995E-4</v>
      </c>
      <c r="U287" s="227">
        <f t="shared" si="88"/>
        <v>8.4999999999999995E-4</v>
      </c>
      <c r="V287" s="165">
        <f t="shared" si="83"/>
        <v>21</v>
      </c>
      <c r="W287" s="181">
        <f t="shared" si="57"/>
        <v>25159.406625643296</v>
      </c>
      <c r="X287" s="229"/>
      <c r="Z287" s="57">
        <v>10</v>
      </c>
      <c r="AA287" s="57" t="s">
        <v>86</v>
      </c>
      <c r="AB287" s="167">
        <f t="shared" si="58"/>
        <v>25159.406625643296</v>
      </c>
      <c r="AC287" s="151">
        <f t="shared" si="59"/>
        <v>0.98461971579785645</v>
      </c>
      <c r="AD287" s="181">
        <f t="shared" si="74"/>
        <v>25585.192344998664</v>
      </c>
      <c r="AE287" s="165">
        <f t="shared" si="60"/>
        <v>-918.34318701270979</v>
      </c>
      <c r="AF287" s="227">
        <v>8.4999999999999995E-4</v>
      </c>
      <c r="AG287" s="227">
        <v>8.4999999999999995E-4</v>
      </c>
      <c r="AH287" s="227">
        <f t="shared" si="89"/>
        <v>8.4999999999999995E-4</v>
      </c>
      <c r="AI287" s="165">
        <f t="shared" si="90"/>
        <v>21</v>
      </c>
      <c r="AJ287" s="181">
        <f t="shared" si="61"/>
        <v>24666.849157985955</v>
      </c>
      <c r="AK287" s="66"/>
      <c r="AL287" s="101"/>
      <c r="AM287" s="57">
        <v>10</v>
      </c>
      <c r="AN287" s="57" t="s">
        <v>86</v>
      </c>
      <c r="AO287" s="167">
        <f t="shared" si="75"/>
        <v>24666.849157985955</v>
      </c>
      <c r="AP287" s="151">
        <f t="shared" si="62"/>
        <v>0.98461971579785645</v>
      </c>
      <c r="AQ287" s="181">
        <f t="shared" si="76"/>
        <v>26172.005680030663</v>
      </c>
      <c r="AR287" s="165">
        <f t="shared" si="63"/>
        <v>-932.11426942408184</v>
      </c>
      <c r="AS287" s="227">
        <v>8.4999999999999995E-4</v>
      </c>
      <c r="AT287" s="227">
        <v>8.4999999999999995E-4</v>
      </c>
      <c r="AU287" s="227">
        <f t="shared" si="91"/>
        <v>8.4999999999999995E-4</v>
      </c>
      <c r="AV287" s="165">
        <f t="shared" si="84"/>
        <v>21</v>
      </c>
      <c r="AW287" s="181">
        <f t="shared" si="64"/>
        <v>25239.891410606582</v>
      </c>
      <c r="AX287" s="100"/>
      <c r="AY287" s="226"/>
      <c r="AZ287" s="57">
        <v>10</v>
      </c>
      <c r="BA287" s="57" t="s">
        <v>86</v>
      </c>
      <c r="BB287" s="167">
        <f t="shared" si="77"/>
        <v>25239.891410606582</v>
      </c>
      <c r="BC287" s="151">
        <f t="shared" si="65"/>
        <v>0.98461971579785645</v>
      </c>
      <c r="BD287" s="181">
        <f t="shared" si="78"/>
        <v>23457.119985228946</v>
      </c>
      <c r="BE287" s="165">
        <f t="shared" si="66"/>
        <v>-1005.0243555595453</v>
      </c>
      <c r="BF287" s="227">
        <v>8.4999999999999995E-4</v>
      </c>
      <c r="BG287" s="227">
        <v>8.4999999999999995E-4</v>
      </c>
      <c r="BH287" s="227">
        <f t="shared" si="92"/>
        <v>8.4999999999999995E-4</v>
      </c>
      <c r="BI287" s="165">
        <f t="shared" si="85"/>
        <v>20</v>
      </c>
      <c r="BJ287" s="181">
        <f t="shared" si="67"/>
        <v>22452.095629669402</v>
      </c>
      <c r="BM287" s="57">
        <v>10</v>
      </c>
      <c r="BN287" s="57" t="s">
        <v>86</v>
      </c>
      <c r="BO287" s="167">
        <f t="shared" si="79"/>
        <v>22452.095629669402</v>
      </c>
      <c r="BP287" s="151">
        <f t="shared" si="68"/>
        <v>0.98461971579785645</v>
      </c>
      <c r="BQ287" s="181">
        <f t="shared" si="80"/>
        <v>24650.937922046873</v>
      </c>
      <c r="BR287" s="165">
        <f t="shared" si="69"/>
        <v>-1064.9356309700213</v>
      </c>
      <c r="BS287" s="227">
        <v>8.4999999999999995E-4</v>
      </c>
      <c r="BT287" s="227">
        <v>8.4999999999999995E-4</v>
      </c>
      <c r="BU287" s="227">
        <f t="shared" si="93"/>
        <v>8.4999999999999995E-4</v>
      </c>
      <c r="BV287" s="165">
        <f t="shared" si="86"/>
        <v>20</v>
      </c>
      <c r="BW287" s="181">
        <f t="shared" si="70"/>
        <v>23586.002291076853</v>
      </c>
      <c r="BX287" s="226"/>
      <c r="BY287" s="66"/>
      <c r="BZ287" s="57">
        <v>11</v>
      </c>
      <c r="CA287" s="57" t="s">
        <v>87</v>
      </c>
      <c r="CB287" s="165">
        <f>Input!J21</f>
        <v>24984</v>
      </c>
      <c r="CC287" s="165">
        <f t="shared" si="52"/>
        <v>21300.881988811696</v>
      </c>
      <c r="CD287" s="223">
        <f t="shared" si="53"/>
        <v>-0.14741906865146912</v>
      </c>
      <c r="CE287" s="101"/>
      <c r="CF287" s="136"/>
    </row>
    <row r="288" spans="2:94" x14ac:dyDescent="0.25">
      <c r="B288" s="179">
        <v>11</v>
      </c>
      <c r="C288" s="179" t="s">
        <v>87</v>
      </c>
      <c r="D288" s="201">
        <f>Input!J21</f>
        <v>24984</v>
      </c>
      <c r="E288" s="216">
        <f t="shared" si="50"/>
        <v>0.9779764446688779</v>
      </c>
      <c r="F288" s="224">
        <f t="shared" si="71"/>
        <v>26018</v>
      </c>
      <c r="G288" s="201">
        <f t="shared" si="72"/>
        <v>-820.89997403108964</v>
      </c>
      <c r="H288" s="201" t="s">
        <v>143</v>
      </c>
      <c r="I288" s="201" t="s">
        <v>143</v>
      </c>
      <c r="J288" s="201" t="s">
        <v>143</v>
      </c>
      <c r="K288" s="181">
        <f t="shared" si="54"/>
        <v>25197.10002596891</v>
      </c>
      <c r="M288" s="57">
        <v>11</v>
      </c>
      <c r="N288" s="57" t="s">
        <v>87</v>
      </c>
      <c r="O288" s="167">
        <f t="shared" si="51"/>
        <v>25197.10002596891</v>
      </c>
      <c r="P288" s="151">
        <f t="shared" si="55"/>
        <v>0.9779764446688779</v>
      </c>
      <c r="Q288" s="181">
        <f t="shared" si="73"/>
        <v>24825.31855025691</v>
      </c>
      <c r="R288" s="225">
        <f t="shared" si="56"/>
        <v>-820.26390364430517</v>
      </c>
      <c r="S288" s="201" t="s">
        <v>143</v>
      </c>
      <c r="T288" s="201" t="s">
        <v>143</v>
      </c>
      <c r="U288" s="201" t="s">
        <v>143</v>
      </c>
      <c r="V288" s="201" t="s">
        <v>143</v>
      </c>
      <c r="W288" s="181">
        <f t="shared" si="57"/>
        <v>24005.054646612603</v>
      </c>
      <c r="X288" s="229"/>
      <c r="Z288" s="57">
        <v>11</v>
      </c>
      <c r="AA288" s="57" t="s">
        <v>87</v>
      </c>
      <c r="AB288" s="167">
        <f t="shared" si="58"/>
        <v>24005.054646612603</v>
      </c>
      <c r="AC288" s="151">
        <f t="shared" si="59"/>
        <v>0.9779764446688779</v>
      </c>
      <c r="AD288" s="181">
        <f t="shared" si="74"/>
        <v>24772.447801383609</v>
      </c>
      <c r="AE288" s="165">
        <f t="shared" si="60"/>
        <v>-755.24495628422426</v>
      </c>
      <c r="AF288" s="201" t="s">
        <v>143</v>
      </c>
      <c r="AG288" s="201" t="s">
        <v>143</v>
      </c>
      <c r="AH288" s="201" t="s">
        <v>143</v>
      </c>
      <c r="AI288" s="167" t="s">
        <v>143</v>
      </c>
      <c r="AJ288" s="181">
        <f t="shared" si="61"/>
        <v>24017.202845099386</v>
      </c>
      <c r="AK288" s="66"/>
      <c r="AL288" s="101"/>
      <c r="AM288" s="57">
        <v>11</v>
      </c>
      <c r="AN288" s="57" t="s">
        <v>87</v>
      </c>
      <c r="AO288" s="167">
        <f t="shared" si="75"/>
        <v>24017.202845099386</v>
      </c>
      <c r="AP288" s="151">
        <f t="shared" si="62"/>
        <v>0.9779764446688779</v>
      </c>
      <c r="AQ288" s="181">
        <f t="shared" si="76"/>
        <v>24287.466007564726</v>
      </c>
      <c r="AR288" s="165">
        <f t="shared" si="63"/>
        <v>-734.85191560395276</v>
      </c>
      <c r="AS288" s="201" t="s">
        <v>143</v>
      </c>
      <c r="AT288" s="201" t="s">
        <v>143</v>
      </c>
      <c r="AU288" s="201" t="s">
        <v>143</v>
      </c>
      <c r="AV288" s="167" t="s">
        <v>143</v>
      </c>
      <c r="AW288" s="181">
        <f t="shared" si="64"/>
        <v>23552.614091960775</v>
      </c>
      <c r="AX288" s="100"/>
      <c r="AY288" s="226"/>
      <c r="AZ288" s="57">
        <v>11</v>
      </c>
      <c r="BA288" s="57" t="s">
        <v>87</v>
      </c>
      <c r="BB288" s="167">
        <f t="shared" si="77"/>
        <v>23552.614091960775</v>
      </c>
      <c r="BC288" s="151">
        <f t="shared" si="65"/>
        <v>0.9779764446688779</v>
      </c>
      <c r="BD288" s="181">
        <f t="shared" si="78"/>
        <v>24851.694707480212</v>
      </c>
      <c r="BE288" s="165">
        <f t="shared" si="66"/>
        <v>-746.99691615288987</v>
      </c>
      <c r="BF288" s="201" t="s">
        <v>143</v>
      </c>
      <c r="BG288" s="201" t="s">
        <v>143</v>
      </c>
      <c r="BH288" s="201" t="s">
        <v>143</v>
      </c>
      <c r="BI288" s="167" t="s">
        <v>143</v>
      </c>
      <c r="BJ288" s="181">
        <f t="shared" si="67"/>
        <v>24104.697791327322</v>
      </c>
      <c r="BM288" s="57">
        <v>11</v>
      </c>
      <c r="BN288" s="57" t="s">
        <v>87</v>
      </c>
      <c r="BO288" s="167">
        <f t="shared" si="79"/>
        <v>24104.697791327322</v>
      </c>
      <c r="BP288" s="151">
        <f t="shared" si="68"/>
        <v>0.9779764446688779</v>
      </c>
      <c r="BQ288" s="181">
        <f t="shared" si="80"/>
        <v>22106.776017951383</v>
      </c>
      <c r="BR288" s="165">
        <f t="shared" si="69"/>
        <v>-805.89402913968627</v>
      </c>
      <c r="BS288" s="201" t="s">
        <v>143</v>
      </c>
      <c r="BT288" s="201" t="s">
        <v>143</v>
      </c>
      <c r="BU288" s="201" t="s">
        <v>143</v>
      </c>
      <c r="BV288" s="167" t="s">
        <v>143</v>
      </c>
      <c r="BW288" s="181">
        <f t="shared" si="70"/>
        <v>21300.881988811696</v>
      </c>
      <c r="BX288" s="226"/>
      <c r="BY288" s="66"/>
      <c r="BZ288" s="57">
        <v>12</v>
      </c>
      <c r="CA288" s="57" t="s">
        <v>88</v>
      </c>
      <c r="CB288" s="165">
        <f>Input!J22</f>
        <v>22198</v>
      </c>
      <c r="CC288" s="165">
        <f t="shared" si="52"/>
        <v>22385.246309441682</v>
      </c>
      <c r="CD288" s="223">
        <f t="shared" si="53"/>
        <v>8.4352783783080299E-3</v>
      </c>
      <c r="CE288" s="101"/>
      <c r="CF288" s="101"/>
    </row>
    <row r="289" spans="2:86" x14ac:dyDescent="0.25">
      <c r="B289" s="179">
        <v>12</v>
      </c>
      <c r="C289" s="179" t="s">
        <v>88</v>
      </c>
      <c r="D289" s="201">
        <f>Input!J22</f>
        <v>22198</v>
      </c>
      <c r="E289" s="216">
        <f t="shared" si="50"/>
        <v>0.96822608139438471</v>
      </c>
      <c r="F289" s="224">
        <f t="shared" si="71"/>
        <v>24434</v>
      </c>
      <c r="G289" s="201">
        <f t="shared" si="72"/>
        <v>-1171.3040708870815</v>
      </c>
      <c r="H289" s="201" t="s">
        <v>143</v>
      </c>
      <c r="I289" s="201" t="s">
        <v>143</v>
      </c>
      <c r="J289" s="201" t="s">
        <v>143</v>
      </c>
      <c r="K289" s="181">
        <f t="shared" si="54"/>
        <v>23262.695929112917</v>
      </c>
      <c r="M289" s="57">
        <v>12</v>
      </c>
      <c r="N289" s="57" t="s">
        <v>88</v>
      </c>
      <c r="O289" s="167">
        <f t="shared" si="51"/>
        <v>23262.695929112917</v>
      </c>
      <c r="P289" s="151">
        <f t="shared" si="55"/>
        <v>0.96822608139438471</v>
      </c>
      <c r="Q289" s="181">
        <f t="shared" si="73"/>
        <v>24642.170299363166</v>
      </c>
      <c r="R289" s="225">
        <f t="shared" si="56"/>
        <v>-1294.812771507565</v>
      </c>
      <c r="S289" s="201" t="s">
        <v>143</v>
      </c>
      <c r="T289" s="201" t="s">
        <v>143</v>
      </c>
      <c r="U289" s="201" t="s">
        <v>143</v>
      </c>
      <c r="V289" s="201" t="s">
        <v>143</v>
      </c>
      <c r="W289" s="181">
        <f t="shared" si="57"/>
        <v>23347.357527855602</v>
      </c>
      <c r="X289" s="229"/>
      <c r="Z289" s="57">
        <v>12</v>
      </c>
      <c r="AA289" s="57" t="s">
        <v>88</v>
      </c>
      <c r="AB289" s="167">
        <f t="shared" si="58"/>
        <v>23347.357527855602</v>
      </c>
      <c r="AC289" s="151">
        <f t="shared" si="59"/>
        <v>0.96822608139438471</v>
      </c>
      <c r="AD289" s="181">
        <f t="shared" si="74"/>
        <v>23476.377997376319</v>
      </c>
      <c r="AE289" s="165">
        <f t="shared" si="60"/>
        <v>-1296.8306727610875</v>
      </c>
      <c r="AF289" s="201" t="s">
        <v>143</v>
      </c>
      <c r="AG289" s="201" t="s">
        <v>143</v>
      </c>
      <c r="AH289" s="201" t="s">
        <v>143</v>
      </c>
      <c r="AI289" s="167" t="s">
        <v>143</v>
      </c>
      <c r="AJ289" s="181">
        <f t="shared" si="61"/>
        <v>22179.547324615232</v>
      </c>
      <c r="AK289" s="66"/>
      <c r="AL289" s="101"/>
      <c r="AM289" s="57">
        <v>12</v>
      </c>
      <c r="AN289" s="57" t="s">
        <v>88</v>
      </c>
      <c r="AO289" s="167">
        <f t="shared" si="75"/>
        <v>22179.547324615232</v>
      </c>
      <c r="AP289" s="151">
        <f t="shared" si="62"/>
        <v>0.96822608139438471</v>
      </c>
      <c r="AQ289" s="181">
        <f t="shared" si="76"/>
        <v>23488.258649341555</v>
      </c>
      <c r="AR289" s="165">
        <f t="shared" si="63"/>
        <v>-1197.1265310296762</v>
      </c>
      <c r="AS289" s="201" t="s">
        <v>143</v>
      </c>
      <c r="AT289" s="201" t="s">
        <v>143</v>
      </c>
      <c r="AU289" s="201" t="s">
        <v>143</v>
      </c>
      <c r="AV289" s="167" t="s">
        <v>143</v>
      </c>
      <c r="AW289" s="181">
        <f t="shared" si="64"/>
        <v>22291.132118311878</v>
      </c>
      <c r="AX289" s="100"/>
      <c r="AY289" s="226"/>
      <c r="AZ289" s="57">
        <v>12</v>
      </c>
      <c r="BA289" s="57" t="s">
        <v>88</v>
      </c>
      <c r="BB289" s="167">
        <f t="shared" si="77"/>
        <v>22291.132118311878</v>
      </c>
      <c r="BC289" s="151">
        <f t="shared" si="65"/>
        <v>0.96822608139438471</v>
      </c>
      <c r="BD289" s="181">
        <f t="shared" si="78"/>
        <v>23033.901792313911</v>
      </c>
      <c r="BE289" s="165">
        <f t="shared" si="66"/>
        <v>-1167.1874183498458</v>
      </c>
      <c r="BF289" s="201" t="s">
        <v>143</v>
      </c>
      <c r="BG289" s="201" t="s">
        <v>143</v>
      </c>
      <c r="BH289" s="201" t="s">
        <v>143</v>
      </c>
      <c r="BI289" s="167" t="s">
        <v>143</v>
      </c>
      <c r="BJ289" s="181">
        <f t="shared" si="67"/>
        <v>21866.714373964067</v>
      </c>
      <c r="BM289" s="57">
        <v>12</v>
      </c>
      <c r="BN289" s="57" t="s">
        <v>88</v>
      </c>
      <c r="BO289" s="167">
        <f t="shared" si="79"/>
        <v>21866.714373964067</v>
      </c>
      <c r="BP289" s="151">
        <f t="shared" si="68"/>
        <v>0.96822608139438471</v>
      </c>
      <c r="BQ289" s="181">
        <f t="shared" si="80"/>
        <v>23573.826645780049</v>
      </c>
      <c r="BR289" s="165">
        <f t="shared" si="69"/>
        <v>-1188.5803363383657</v>
      </c>
      <c r="BS289" s="201" t="s">
        <v>143</v>
      </c>
      <c r="BT289" s="201" t="s">
        <v>143</v>
      </c>
      <c r="BU289" s="201" t="s">
        <v>143</v>
      </c>
      <c r="BV289" s="167" t="s">
        <v>143</v>
      </c>
      <c r="BW289" s="181">
        <f t="shared" si="70"/>
        <v>22385.246309441682</v>
      </c>
      <c r="BX289" s="226"/>
      <c r="BY289" s="66"/>
      <c r="BZ289" s="57">
        <v>13</v>
      </c>
      <c r="CA289" s="57" t="s">
        <v>89</v>
      </c>
      <c r="CB289" s="165">
        <f>Input!J23</f>
        <v>18134</v>
      </c>
      <c r="CC289" s="165">
        <f t="shared" si="52"/>
        <v>20100.989919396918</v>
      </c>
      <c r="CD289" s="223">
        <f t="shared" si="53"/>
        <v>0.10846972093288396</v>
      </c>
      <c r="CE289" s="101"/>
      <c r="CF289" s="101"/>
    </row>
    <row r="290" spans="2:86" x14ac:dyDescent="0.25">
      <c r="B290" s="179">
        <v>13</v>
      </c>
      <c r="C290" s="179" t="s">
        <v>89</v>
      </c>
      <c r="D290" s="201">
        <f>Input!J23</f>
        <v>18134</v>
      </c>
      <c r="E290" s="216">
        <f t="shared" si="50"/>
        <v>0.95166201866799383</v>
      </c>
      <c r="F290" s="224">
        <f t="shared" si="71"/>
        <v>21493</v>
      </c>
      <c r="G290" s="201">
        <f t="shared" si="72"/>
        <v>-937.03019878784721</v>
      </c>
      <c r="H290" s="201" t="s">
        <v>143</v>
      </c>
      <c r="I290" s="201" t="s">
        <v>143</v>
      </c>
      <c r="J290" s="201" t="s">
        <v>143</v>
      </c>
      <c r="K290" s="181">
        <f t="shared" si="54"/>
        <v>20555.969801212152</v>
      </c>
      <c r="M290" s="57">
        <v>13</v>
      </c>
      <c r="N290" s="57" t="s">
        <v>89</v>
      </c>
      <c r="O290" s="167">
        <f t="shared" si="51"/>
        <v>20555.969801212152</v>
      </c>
      <c r="P290" s="151">
        <f t="shared" si="55"/>
        <v>0.95166201866799383</v>
      </c>
      <c r="Q290" s="181">
        <f t="shared" si="73"/>
        <v>22523.548922114103</v>
      </c>
      <c r="R290" s="225">
        <f t="shared" si="56"/>
        <v>-1067.9594509849742</v>
      </c>
      <c r="S290" s="201" t="s">
        <v>143</v>
      </c>
      <c r="T290" s="201" t="s">
        <v>143</v>
      </c>
      <c r="U290" s="201" t="s">
        <v>143</v>
      </c>
      <c r="V290" s="201" t="s">
        <v>143</v>
      </c>
      <c r="W290" s="181">
        <f t="shared" si="57"/>
        <v>21455.589471129129</v>
      </c>
      <c r="X290" s="229"/>
      <c r="Z290" s="57">
        <v>13</v>
      </c>
      <c r="AA290" s="57" t="s">
        <v>89</v>
      </c>
      <c r="AB290" s="167">
        <f t="shared" si="58"/>
        <v>21455.589471129129</v>
      </c>
      <c r="AC290" s="151">
        <f t="shared" si="59"/>
        <v>0.95166201866799383</v>
      </c>
      <c r="AD290" s="181">
        <f t="shared" si="74"/>
        <v>22605.52049010932</v>
      </c>
      <c r="AE290" s="165">
        <f t="shared" si="60"/>
        <v>-1178.5589216227011</v>
      </c>
      <c r="AF290" s="201" t="s">
        <v>143</v>
      </c>
      <c r="AG290" s="201" t="s">
        <v>143</v>
      </c>
      <c r="AH290" s="201" t="s">
        <v>143</v>
      </c>
      <c r="AI290" s="167" t="s">
        <v>143</v>
      </c>
      <c r="AJ290" s="181">
        <f t="shared" si="61"/>
        <v>21426.961568486618</v>
      </c>
      <c r="AK290" s="66"/>
      <c r="AL290" s="101"/>
      <c r="AM290" s="57">
        <v>13</v>
      </c>
      <c r="AN290" s="57" t="s">
        <v>89</v>
      </c>
      <c r="AO290" s="167">
        <f t="shared" si="75"/>
        <v>21426.961568486618</v>
      </c>
      <c r="AP290" s="151">
        <f t="shared" si="62"/>
        <v>0.95166201866799383</v>
      </c>
      <c r="AQ290" s="181">
        <f t="shared" si="76"/>
        <v>21474.816193213515</v>
      </c>
      <c r="AR290" s="165">
        <f t="shared" si="63"/>
        <v>-1183.123130828478</v>
      </c>
      <c r="AS290" s="201" t="s">
        <v>143</v>
      </c>
      <c r="AT290" s="201" t="s">
        <v>143</v>
      </c>
      <c r="AU290" s="201" t="s">
        <v>143</v>
      </c>
      <c r="AV290" s="167" t="s">
        <v>143</v>
      </c>
      <c r="AW290" s="181">
        <f t="shared" si="64"/>
        <v>20291.693062385039</v>
      </c>
      <c r="AX290" s="100"/>
      <c r="AY290" s="226"/>
      <c r="AZ290" s="57">
        <v>13</v>
      </c>
      <c r="BA290" s="57" t="s">
        <v>89</v>
      </c>
      <c r="BB290" s="167">
        <f t="shared" si="77"/>
        <v>20291.693062385039</v>
      </c>
      <c r="BC290" s="151">
        <f t="shared" si="65"/>
        <v>0.95166201866799383</v>
      </c>
      <c r="BD290" s="181">
        <f t="shared" si="78"/>
        <v>21582.855500757618</v>
      </c>
      <c r="BE290" s="165">
        <f t="shared" si="66"/>
        <v>-1095.7975464433687</v>
      </c>
      <c r="BF290" s="201" t="s">
        <v>143</v>
      </c>
      <c r="BG290" s="201" t="s">
        <v>143</v>
      </c>
      <c r="BH290" s="201" t="s">
        <v>143</v>
      </c>
      <c r="BI290" s="167" t="s">
        <v>143</v>
      </c>
      <c r="BJ290" s="181">
        <f t="shared" si="67"/>
        <v>20487.057954314248</v>
      </c>
      <c r="BM290" s="57">
        <v>13</v>
      </c>
      <c r="BN290" s="57" t="s">
        <v>89</v>
      </c>
      <c r="BO290" s="167">
        <f t="shared" si="79"/>
        <v>20487.057954314248</v>
      </c>
      <c r="BP290" s="151">
        <f t="shared" si="68"/>
        <v>0.95166201866799383</v>
      </c>
      <c r="BQ290" s="181">
        <f t="shared" si="80"/>
        <v>21171.923171273495</v>
      </c>
      <c r="BR290" s="165">
        <f t="shared" si="69"/>
        <v>-1070.9332518765757</v>
      </c>
      <c r="BS290" s="201" t="s">
        <v>143</v>
      </c>
      <c r="BT290" s="201" t="s">
        <v>143</v>
      </c>
      <c r="BU290" s="201" t="s">
        <v>143</v>
      </c>
      <c r="BV290" s="167" t="s">
        <v>143</v>
      </c>
      <c r="BW290" s="181">
        <f t="shared" si="70"/>
        <v>20100.989919396918</v>
      </c>
      <c r="BX290" s="226"/>
      <c r="BY290" s="66"/>
      <c r="BZ290" s="57">
        <v>14</v>
      </c>
      <c r="CA290" s="57" t="s">
        <v>90</v>
      </c>
      <c r="CB290" s="165">
        <f>Input!J24</f>
        <v>11793</v>
      </c>
      <c r="CC290" s="165">
        <f t="shared" si="52"/>
        <v>18750.97554404063</v>
      </c>
      <c r="CD290" s="223">
        <f t="shared" si="53"/>
        <v>0.59000894971937845</v>
      </c>
      <c r="CE290" s="101"/>
      <c r="CF290" s="101"/>
    </row>
    <row r="291" spans="2:86" x14ac:dyDescent="0.25">
      <c r="B291" s="179">
        <v>14</v>
      </c>
      <c r="C291" s="179" t="s">
        <v>90</v>
      </c>
      <c r="D291" s="201">
        <f>Input!J24</f>
        <v>11793</v>
      </c>
      <c r="E291" s="216">
        <f t="shared" si="50"/>
        <v>0.9248336318809729</v>
      </c>
      <c r="F291" s="224">
        <f t="shared" si="71"/>
        <v>17257</v>
      </c>
      <c r="G291" s="201">
        <f t="shared" si="72"/>
        <v>-492.56741195284474</v>
      </c>
      <c r="H291" s="201" t="s">
        <v>143</v>
      </c>
      <c r="I291" s="201" t="s">
        <v>143</v>
      </c>
      <c r="J291" s="201" t="s">
        <v>143</v>
      </c>
      <c r="K291" s="181">
        <f t="shared" si="54"/>
        <v>16764.432588047155</v>
      </c>
      <c r="M291" s="57">
        <v>14</v>
      </c>
      <c r="N291" s="57" t="s">
        <v>90</v>
      </c>
      <c r="O291" s="167">
        <f t="shared" si="51"/>
        <v>16764.432588047155</v>
      </c>
      <c r="P291" s="151">
        <f t="shared" si="55"/>
        <v>0.9248336318809729</v>
      </c>
      <c r="Q291" s="181">
        <f t="shared" si="73"/>
        <v>19562.335716699876</v>
      </c>
      <c r="R291" s="225">
        <f t="shared" si="56"/>
        <v>-634.71197818815222</v>
      </c>
      <c r="S291" s="201" t="s">
        <v>143</v>
      </c>
      <c r="T291" s="201" t="s">
        <v>143</v>
      </c>
      <c r="U291" s="201" t="s">
        <v>143</v>
      </c>
      <c r="V291" s="201" t="s">
        <v>143</v>
      </c>
      <c r="W291" s="181">
        <f t="shared" si="57"/>
        <v>18927.623738511724</v>
      </c>
      <c r="X291" s="229"/>
      <c r="Z291" s="57">
        <v>14</v>
      </c>
      <c r="AA291" s="57" t="s">
        <v>90</v>
      </c>
      <c r="AB291" s="167">
        <f t="shared" si="58"/>
        <v>18927.623738511724</v>
      </c>
      <c r="AC291" s="151">
        <f t="shared" si="59"/>
        <v>0.9248336318809729</v>
      </c>
      <c r="AD291" s="181">
        <f t="shared" si="74"/>
        <v>20418.469587806499</v>
      </c>
      <c r="AE291" s="165">
        <f t="shared" si="60"/>
        <v>-720.3014096594419</v>
      </c>
      <c r="AF291" s="201" t="s">
        <v>143</v>
      </c>
      <c r="AG291" s="201" t="s">
        <v>143</v>
      </c>
      <c r="AH291" s="201" t="s">
        <v>143</v>
      </c>
      <c r="AI291" s="167" t="s">
        <v>143</v>
      </c>
      <c r="AJ291" s="181">
        <f t="shared" si="61"/>
        <v>19698.168178147058</v>
      </c>
      <c r="AK291" s="66"/>
      <c r="AL291" s="101"/>
      <c r="AM291" s="57">
        <v>14</v>
      </c>
      <c r="AN291" s="57" t="s">
        <v>90</v>
      </c>
      <c r="AO291" s="167">
        <f t="shared" si="75"/>
        <v>19698.168178147058</v>
      </c>
      <c r="AP291" s="151">
        <f t="shared" si="62"/>
        <v>0.9248336318809729</v>
      </c>
      <c r="AQ291" s="181">
        <f t="shared" si="76"/>
        <v>20391.225500187498</v>
      </c>
      <c r="AR291" s="165">
        <f t="shared" si="63"/>
        <v>-796.6384352107483</v>
      </c>
      <c r="AS291" s="201" t="s">
        <v>143</v>
      </c>
      <c r="AT291" s="201" t="s">
        <v>143</v>
      </c>
      <c r="AU291" s="201" t="s">
        <v>143</v>
      </c>
      <c r="AV291" s="167" t="s">
        <v>143</v>
      </c>
      <c r="AW291" s="181">
        <f t="shared" si="64"/>
        <v>19594.587064976749</v>
      </c>
      <c r="AX291" s="100"/>
      <c r="AY291" s="226"/>
      <c r="AZ291" s="57">
        <v>14</v>
      </c>
      <c r="BA291" s="57" t="s">
        <v>90</v>
      </c>
      <c r="BB291" s="167">
        <f t="shared" si="77"/>
        <v>19594.587064976749</v>
      </c>
      <c r="BC291" s="151">
        <f t="shared" si="65"/>
        <v>0.9248336318809729</v>
      </c>
      <c r="BD291" s="181">
        <f t="shared" si="78"/>
        <v>19310.833581940671</v>
      </c>
      <c r="BE291" s="165">
        <f t="shared" si="66"/>
        <v>-802.19564047123686</v>
      </c>
      <c r="BF291" s="201" t="s">
        <v>143</v>
      </c>
      <c r="BG291" s="201" t="s">
        <v>143</v>
      </c>
      <c r="BH291" s="201" t="s">
        <v>143</v>
      </c>
      <c r="BI291" s="167" t="s">
        <v>143</v>
      </c>
      <c r="BJ291" s="181">
        <f t="shared" si="67"/>
        <v>18508.637941469435</v>
      </c>
      <c r="BM291" s="57">
        <v>14</v>
      </c>
      <c r="BN291" s="57" t="s">
        <v>90</v>
      </c>
      <c r="BO291" s="167">
        <f t="shared" si="79"/>
        <v>18508.637941469435</v>
      </c>
      <c r="BP291" s="151">
        <f t="shared" si="68"/>
        <v>0.9248336318809729</v>
      </c>
      <c r="BQ291" s="181">
        <f t="shared" si="80"/>
        <v>19496.754929370876</v>
      </c>
      <c r="BR291" s="165">
        <f t="shared" si="69"/>
        <v>-745.77938533024781</v>
      </c>
      <c r="BS291" s="201" t="s">
        <v>143</v>
      </c>
      <c r="BT291" s="201" t="s">
        <v>143</v>
      </c>
      <c r="BU291" s="201" t="s">
        <v>143</v>
      </c>
      <c r="BV291" s="167" t="s">
        <v>143</v>
      </c>
      <c r="BW291" s="181">
        <f t="shared" si="70"/>
        <v>18750.97554404063</v>
      </c>
      <c r="BX291" s="226"/>
      <c r="BY291" s="66"/>
      <c r="BZ291" s="57">
        <v>15</v>
      </c>
      <c r="CA291" s="57" t="s">
        <v>91</v>
      </c>
      <c r="CB291" s="165">
        <f>Input!J25</f>
        <v>8254</v>
      </c>
      <c r="CC291" s="165">
        <f t="shared" si="52"/>
        <v>16529.847321629142</v>
      </c>
      <c r="CD291" s="223">
        <f t="shared" si="53"/>
        <v>1.0026468768632351</v>
      </c>
      <c r="CE291" s="101"/>
      <c r="CF291" s="101"/>
    </row>
    <row r="292" spans="2:86" x14ac:dyDescent="0.25">
      <c r="B292" s="179">
        <v>15</v>
      </c>
      <c r="C292" s="179" t="s">
        <v>91</v>
      </c>
      <c r="D292" s="201">
        <f>Input!J25</f>
        <v>8254</v>
      </c>
      <c r="E292" s="216">
        <f t="shared" si="50"/>
        <v>0.88143149206082438</v>
      </c>
      <c r="F292" s="224">
        <f t="shared" si="71"/>
        <v>10907</v>
      </c>
      <c r="G292" s="201">
        <f t="shared" si="72"/>
        <v>-290.29193611168171</v>
      </c>
      <c r="H292" s="201" t="s">
        <v>143</v>
      </c>
      <c r="I292" s="201" t="s">
        <v>143</v>
      </c>
      <c r="J292" s="201" t="s">
        <v>143</v>
      </c>
      <c r="K292" s="181">
        <f t="shared" si="54"/>
        <v>10616.708063888318</v>
      </c>
      <c r="M292" s="57">
        <v>15</v>
      </c>
      <c r="N292" s="57" t="s">
        <v>91</v>
      </c>
      <c r="O292" s="167">
        <f t="shared" si="51"/>
        <v>10616.708063888318</v>
      </c>
      <c r="P292" s="151">
        <f t="shared" si="55"/>
        <v>0.88143149206082438</v>
      </c>
      <c r="Q292" s="181">
        <f t="shared" si="73"/>
        <v>15504.311076827389</v>
      </c>
      <c r="R292" s="225">
        <f t="shared" si="56"/>
        <v>-357.14179355506519</v>
      </c>
      <c r="S292" s="201" t="s">
        <v>143</v>
      </c>
      <c r="T292" s="201" t="s">
        <v>143</v>
      </c>
      <c r="U292" s="201" t="s">
        <v>143</v>
      </c>
      <c r="V292" s="201" t="s">
        <v>143</v>
      </c>
      <c r="W292" s="181">
        <f t="shared" si="57"/>
        <v>15147.169283272324</v>
      </c>
      <c r="X292" s="229"/>
      <c r="Z292" s="57">
        <v>15</v>
      </c>
      <c r="AA292" s="57" t="s">
        <v>91</v>
      </c>
      <c r="AB292" s="167">
        <f t="shared" si="58"/>
        <v>15147.169283272324</v>
      </c>
      <c r="AC292" s="151">
        <f t="shared" si="59"/>
        <v>0.88143149206082438</v>
      </c>
      <c r="AD292" s="181">
        <f t="shared" si="74"/>
        <v>17504.903004964315</v>
      </c>
      <c r="AE292" s="165">
        <f t="shared" si="60"/>
        <v>-460.26561550093032</v>
      </c>
      <c r="AF292" s="201" t="s">
        <v>143</v>
      </c>
      <c r="AG292" s="201" t="s">
        <v>143</v>
      </c>
      <c r="AH292" s="201" t="s">
        <v>143</v>
      </c>
      <c r="AI292" s="167" t="s">
        <v>143</v>
      </c>
      <c r="AJ292" s="181">
        <f t="shared" si="61"/>
        <v>17044.637389463383</v>
      </c>
      <c r="AK292" s="66"/>
      <c r="AL292" s="101"/>
      <c r="AM292" s="57">
        <v>15</v>
      </c>
      <c r="AN292" s="57" t="s">
        <v>91</v>
      </c>
      <c r="AO292" s="167">
        <f t="shared" si="75"/>
        <v>17044.637389463383</v>
      </c>
      <c r="AP292" s="151">
        <f t="shared" si="62"/>
        <v>0.88143149206082438</v>
      </c>
      <c r="AQ292" s="181">
        <f t="shared" si="76"/>
        <v>18217.52841759795</v>
      </c>
      <c r="AR292" s="165">
        <f t="shared" si="63"/>
        <v>-524.03713613063792</v>
      </c>
      <c r="AS292" s="201" t="s">
        <v>143</v>
      </c>
      <c r="AT292" s="201" t="s">
        <v>143</v>
      </c>
      <c r="AU292" s="201" t="s">
        <v>143</v>
      </c>
      <c r="AV292" s="167" t="s">
        <v>143</v>
      </c>
      <c r="AW292" s="181">
        <f t="shared" si="64"/>
        <v>17693.491281467312</v>
      </c>
      <c r="AX292" s="100"/>
      <c r="AY292" s="226"/>
      <c r="AZ292" s="57">
        <v>15</v>
      </c>
      <c r="BA292" s="57" t="s">
        <v>91</v>
      </c>
      <c r="BB292" s="167">
        <f t="shared" si="77"/>
        <v>17693.491281467312</v>
      </c>
      <c r="BC292" s="151">
        <f t="shared" si="65"/>
        <v>0.88143149206082438</v>
      </c>
      <c r="BD292" s="181">
        <f t="shared" si="78"/>
        <v>18121.73312051038</v>
      </c>
      <c r="BE292" s="165">
        <f t="shared" si="66"/>
        <v>-581.42495982946775</v>
      </c>
      <c r="BF292" s="201" t="s">
        <v>143</v>
      </c>
      <c r="BG292" s="201" t="s">
        <v>143</v>
      </c>
      <c r="BH292" s="201" t="s">
        <v>143</v>
      </c>
      <c r="BI292" s="167" t="s">
        <v>143</v>
      </c>
      <c r="BJ292" s="181">
        <f t="shared" si="67"/>
        <v>17540.308160680914</v>
      </c>
      <c r="BM292" s="57">
        <v>15</v>
      </c>
      <c r="BN292" s="57" t="s">
        <v>91</v>
      </c>
      <c r="BO292" s="167">
        <f t="shared" si="79"/>
        <v>17540.308160680914</v>
      </c>
      <c r="BP292" s="151">
        <f t="shared" si="68"/>
        <v>0.88143149206082438</v>
      </c>
      <c r="BQ292" s="181">
        <f t="shared" si="80"/>
        <v>17117.410848579151</v>
      </c>
      <c r="BR292" s="165">
        <f t="shared" si="69"/>
        <v>-587.56352695001033</v>
      </c>
      <c r="BS292" s="201" t="s">
        <v>143</v>
      </c>
      <c r="BT292" s="201" t="s">
        <v>143</v>
      </c>
      <c r="BU292" s="201" t="s">
        <v>143</v>
      </c>
      <c r="BV292" s="167" t="s">
        <v>143</v>
      </c>
      <c r="BW292" s="181">
        <f t="shared" si="70"/>
        <v>16529.847321629142</v>
      </c>
      <c r="BX292" s="226"/>
      <c r="BY292" s="66"/>
      <c r="BZ292" s="57">
        <v>16</v>
      </c>
      <c r="CA292" s="57" t="s">
        <v>92</v>
      </c>
      <c r="CB292" s="165">
        <f>Input!J26</f>
        <v>6552</v>
      </c>
      <c r="CC292" s="165">
        <f t="shared" si="52"/>
        <v>15169.163634305874</v>
      </c>
      <c r="CD292" s="223">
        <f t="shared" si="53"/>
        <v>1.3151959148818491</v>
      </c>
      <c r="CE292" s="101"/>
      <c r="CF292" s="101"/>
    </row>
    <row r="293" spans="2:86" x14ac:dyDescent="0.25">
      <c r="B293" s="179">
        <v>16</v>
      </c>
      <c r="C293" s="179" t="s">
        <v>92</v>
      </c>
      <c r="D293" s="201">
        <f>Input!J26</f>
        <v>6552</v>
      </c>
      <c r="E293" s="216">
        <f t="shared" si="50"/>
        <v>0.80921734673671208</v>
      </c>
      <c r="F293" s="224">
        <f t="shared" si="71"/>
        <v>7275</v>
      </c>
      <c r="G293" s="201">
        <f t="shared" si="72"/>
        <v>-131.05349872103452</v>
      </c>
      <c r="H293" s="201" t="s">
        <v>143</v>
      </c>
      <c r="I293" s="201" t="s">
        <v>143</v>
      </c>
      <c r="J293" s="201" t="s">
        <v>143</v>
      </c>
      <c r="K293" s="181">
        <f t="shared" si="54"/>
        <v>7143.9465012789651</v>
      </c>
      <c r="M293" s="57">
        <v>16</v>
      </c>
      <c r="N293" s="57" t="s">
        <v>92</v>
      </c>
      <c r="O293" s="167">
        <f t="shared" si="51"/>
        <v>7143.9465012789651</v>
      </c>
      <c r="P293" s="151">
        <f t="shared" si="55"/>
        <v>0.80921734673671208</v>
      </c>
      <c r="Q293" s="181">
        <f t="shared" si="73"/>
        <v>9357.900829527267</v>
      </c>
      <c r="R293" s="225">
        <f t="shared" si="56"/>
        <v>-142.97993636276459</v>
      </c>
      <c r="S293" s="201" t="s">
        <v>143</v>
      </c>
      <c r="T293" s="201" t="s">
        <v>143</v>
      </c>
      <c r="U293" s="201" t="s">
        <v>143</v>
      </c>
      <c r="V293" s="201" t="s">
        <v>143</v>
      </c>
      <c r="W293" s="181">
        <f t="shared" si="57"/>
        <v>9214.9208931645026</v>
      </c>
      <c r="X293" s="229"/>
      <c r="Z293" s="57">
        <v>16</v>
      </c>
      <c r="AA293" s="57" t="s">
        <v>92</v>
      </c>
      <c r="AB293" s="167">
        <f t="shared" si="58"/>
        <v>9214.9208931645026</v>
      </c>
      <c r="AC293" s="151">
        <f t="shared" si="59"/>
        <v>0.80921734673671208</v>
      </c>
      <c r="AD293" s="181">
        <f t="shared" si="74"/>
        <v>13351.192021852612</v>
      </c>
      <c r="AE293" s="165">
        <f t="shared" si="60"/>
        <v>-176.65632494021102</v>
      </c>
      <c r="AF293" s="201" t="s">
        <v>143</v>
      </c>
      <c r="AG293" s="201" t="s">
        <v>143</v>
      </c>
      <c r="AH293" s="201" t="s">
        <v>143</v>
      </c>
      <c r="AI293" s="167" t="s">
        <v>143</v>
      </c>
      <c r="AJ293" s="181">
        <f t="shared" si="61"/>
        <v>13174.5356969124</v>
      </c>
      <c r="AK293" s="66"/>
      <c r="AL293" s="101"/>
      <c r="AM293" s="57">
        <v>16</v>
      </c>
      <c r="AN293" s="57" t="s">
        <v>92</v>
      </c>
      <c r="AO293" s="167">
        <f t="shared" si="75"/>
        <v>13174.5356969124</v>
      </c>
      <c r="AP293" s="151">
        <f t="shared" si="62"/>
        <v>0.80921734673671208</v>
      </c>
      <c r="AQ293" s="181">
        <f t="shared" si="76"/>
        <v>15023.680165830425</v>
      </c>
      <c r="AR293" s="165">
        <f t="shared" si="63"/>
        <v>-228.6862568756122</v>
      </c>
      <c r="AS293" s="201" t="s">
        <v>143</v>
      </c>
      <c r="AT293" s="201" t="s">
        <v>143</v>
      </c>
      <c r="AU293" s="201" t="s">
        <v>143</v>
      </c>
      <c r="AV293" s="167" t="s">
        <v>143</v>
      </c>
      <c r="AW293" s="181">
        <f t="shared" si="64"/>
        <v>14794.993908954813</v>
      </c>
      <c r="AX293" s="100"/>
      <c r="AY293" s="226"/>
      <c r="AZ293" s="57">
        <v>16</v>
      </c>
      <c r="BA293" s="57" t="s">
        <v>92</v>
      </c>
      <c r="BB293" s="167">
        <f t="shared" si="77"/>
        <v>14794.993908954813</v>
      </c>
      <c r="BC293" s="151">
        <f t="shared" si="65"/>
        <v>0.80921734673671208</v>
      </c>
      <c r="BD293" s="181">
        <f t="shared" si="78"/>
        <v>15595.600419988919</v>
      </c>
      <c r="BE293" s="165">
        <f t="shared" si="66"/>
        <v>-261.55009865725174</v>
      </c>
      <c r="BF293" s="201" t="s">
        <v>143</v>
      </c>
      <c r="BG293" s="201" t="s">
        <v>143</v>
      </c>
      <c r="BH293" s="201" t="s">
        <v>143</v>
      </c>
      <c r="BI293" s="167" t="s">
        <v>143</v>
      </c>
      <c r="BJ293" s="181">
        <f t="shared" si="67"/>
        <v>15334.050321331668</v>
      </c>
      <c r="BM293" s="57">
        <v>16</v>
      </c>
      <c r="BN293" s="57" t="s">
        <v>92</v>
      </c>
      <c r="BO293" s="167">
        <f t="shared" si="79"/>
        <v>15334.050321331668</v>
      </c>
      <c r="BP293" s="151">
        <f t="shared" si="68"/>
        <v>0.80921734673671208</v>
      </c>
      <c r="BQ293" s="181">
        <f t="shared" si="80"/>
        <v>15460.579993275633</v>
      </c>
      <c r="BR293" s="165">
        <f t="shared" si="69"/>
        <v>-291.41635896975805</v>
      </c>
      <c r="BS293" s="201" t="s">
        <v>143</v>
      </c>
      <c r="BT293" s="201" t="s">
        <v>143</v>
      </c>
      <c r="BU293" s="201" t="s">
        <v>143</v>
      </c>
      <c r="BV293" s="167" t="s">
        <v>143</v>
      </c>
      <c r="BW293" s="181">
        <f t="shared" si="70"/>
        <v>15169.163634305874</v>
      </c>
      <c r="BX293" s="226"/>
      <c r="BY293" s="66"/>
      <c r="BZ293" s="57">
        <v>17</v>
      </c>
      <c r="CA293" s="57" t="s">
        <v>93</v>
      </c>
      <c r="CB293" s="165">
        <f>Input!J27</f>
        <v>5287</v>
      </c>
      <c r="CC293" s="165">
        <f t="shared" si="52"/>
        <v>11996.300490262465</v>
      </c>
      <c r="CD293" s="223">
        <f t="shared" si="53"/>
        <v>1.269018439618397</v>
      </c>
      <c r="CE293" s="101"/>
      <c r="CF293" s="101"/>
    </row>
    <row r="294" spans="2:86" x14ac:dyDescent="0.25">
      <c r="B294" s="179">
        <v>17</v>
      </c>
      <c r="C294" s="179" t="s">
        <v>93</v>
      </c>
      <c r="D294" s="201">
        <f>Input!J27</f>
        <v>5287</v>
      </c>
      <c r="E294" s="216">
        <f t="shared" si="50"/>
        <v>0.68905002842933327</v>
      </c>
      <c r="F294" s="224">
        <f t="shared" si="71"/>
        <v>5302</v>
      </c>
      <c r="G294" s="201">
        <f t="shared" si="72"/>
        <v>-203.36806182837645</v>
      </c>
      <c r="H294" s="201" t="s">
        <v>143</v>
      </c>
      <c r="I294" s="201" t="s">
        <v>143</v>
      </c>
      <c r="J294" s="201" t="s">
        <v>143</v>
      </c>
      <c r="K294" s="181">
        <f t="shared" si="54"/>
        <v>5098.6319381716239</v>
      </c>
      <c r="M294" s="57">
        <v>17</v>
      </c>
      <c r="N294" s="57" t="s">
        <v>93</v>
      </c>
      <c r="O294" s="167">
        <f t="shared" si="51"/>
        <v>5098.6319381716239</v>
      </c>
      <c r="P294" s="151">
        <f t="shared" si="55"/>
        <v>0.68905002842933327</v>
      </c>
      <c r="Q294" s="181">
        <f t="shared" si="73"/>
        <v>5781.0054329939812</v>
      </c>
      <c r="R294" s="225">
        <f t="shared" si="56"/>
        <v>-199.83398502718961</v>
      </c>
      <c r="S294" s="201" t="s">
        <v>143</v>
      </c>
      <c r="T294" s="201" t="s">
        <v>143</v>
      </c>
      <c r="U294" s="201" t="s">
        <v>143</v>
      </c>
      <c r="V294" s="201" t="s">
        <v>143</v>
      </c>
      <c r="W294" s="181">
        <f t="shared" si="57"/>
        <v>5581.1714479667917</v>
      </c>
      <c r="X294" s="229"/>
      <c r="Z294" s="57">
        <v>17</v>
      </c>
      <c r="AA294" s="57" t="s">
        <v>93</v>
      </c>
      <c r="AB294" s="167">
        <f t="shared" si="58"/>
        <v>5581.1714479667917</v>
      </c>
      <c r="AC294" s="151">
        <f t="shared" si="59"/>
        <v>0.68905002842933327</v>
      </c>
      <c r="AD294" s="181">
        <f t="shared" si="74"/>
        <v>7456.8738355552723</v>
      </c>
      <c r="AE294" s="165">
        <f t="shared" si="60"/>
        <v>-220.76726506833651</v>
      </c>
      <c r="AF294" s="201" t="s">
        <v>143</v>
      </c>
      <c r="AG294" s="201" t="s">
        <v>143</v>
      </c>
      <c r="AH294" s="201" t="s">
        <v>143</v>
      </c>
      <c r="AI294" s="167" t="s">
        <v>143</v>
      </c>
      <c r="AJ294" s="181">
        <f t="shared" si="61"/>
        <v>7236.1065704869361</v>
      </c>
      <c r="AK294" s="66"/>
      <c r="AL294" s="101"/>
      <c r="AM294" s="57">
        <v>17</v>
      </c>
      <c r="AN294" s="57" t="s">
        <v>93</v>
      </c>
      <c r="AO294" s="167">
        <f t="shared" si="75"/>
        <v>7236.1065704869361</v>
      </c>
      <c r="AP294" s="151">
        <f t="shared" si="62"/>
        <v>0.68905002842933327</v>
      </c>
      <c r="AQ294" s="181">
        <f t="shared" si="76"/>
        <v>10661.062821143552</v>
      </c>
      <c r="AR294" s="165">
        <f t="shared" si="63"/>
        <v>-274.87652524111536</v>
      </c>
      <c r="AS294" s="201" t="s">
        <v>143</v>
      </c>
      <c r="AT294" s="201" t="s">
        <v>143</v>
      </c>
      <c r="AU294" s="201" t="s">
        <v>143</v>
      </c>
      <c r="AV294" s="167" t="s">
        <v>143</v>
      </c>
      <c r="AW294" s="181">
        <f t="shared" si="64"/>
        <v>10386.186295902437</v>
      </c>
      <c r="AX294" s="100"/>
      <c r="AY294" s="226"/>
      <c r="AZ294" s="57">
        <v>17</v>
      </c>
      <c r="BA294" s="57" t="s">
        <v>93</v>
      </c>
      <c r="BB294" s="167">
        <f t="shared" si="77"/>
        <v>10386.186295902437</v>
      </c>
      <c r="BC294" s="151">
        <f t="shared" si="65"/>
        <v>0.68905002842933327</v>
      </c>
      <c r="BD294" s="181">
        <f t="shared" si="78"/>
        <v>11972.36571599023</v>
      </c>
      <c r="BE294" s="165">
        <f t="shared" si="66"/>
        <v>-358.27985327174054</v>
      </c>
      <c r="BF294" s="201" t="s">
        <v>143</v>
      </c>
      <c r="BG294" s="201" t="s">
        <v>143</v>
      </c>
      <c r="BH294" s="201" t="s">
        <v>143</v>
      </c>
      <c r="BI294" s="167" t="s">
        <v>143</v>
      </c>
      <c r="BJ294" s="181">
        <f t="shared" si="67"/>
        <v>11614.08586271849</v>
      </c>
      <c r="BM294" s="57">
        <v>17</v>
      </c>
      <c r="BN294" s="57" t="s">
        <v>93</v>
      </c>
      <c r="BO294" s="167">
        <f t="shared" si="79"/>
        <v>11614.08586271849</v>
      </c>
      <c r="BP294" s="151">
        <f t="shared" si="68"/>
        <v>0.68905002842933327</v>
      </c>
      <c r="BQ294" s="181">
        <f t="shared" si="80"/>
        <v>12408.57951575524</v>
      </c>
      <c r="BR294" s="165">
        <f t="shared" si="69"/>
        <v>-412.27902549277468</v>
      </c>
      <c r="BS294" s="201" t="s">
        <v>143</v>
      </c>
      <c r="BT294" s="201" t="s">
        <v>143</v>
      </c>
      <c r="BU294" s="201" t="s">
        <v>143</v>
      </c>
      <c r="BV294" s="167" t="s">
        <v>143</v>
      </c>
      <c r="BW294" s="181">
        <f t="shared" si="70"/>
        <v>11996.300490262465</v>
      </c>
      <c r="BX294" s="226"/>
      <c r="BY294" s="66"/>
      <c r="BZ294" s="57">
        <v>18</v>
      </c>
      <c r="CA294" s="57" t="s">
        <v>119</v>
      </c>
      <c r="CB294" s="165">
        <f>Input!J28</f>
        <v>5400</v>
      </c>
      <c r="CC294" s="165">
        <f t="shared" si="52"/>
        <v>11207.362404945561</v>
      </c>
      <c r="CD294" s="223">
        <f t="shared" si="53"/>
        <v>1.0754374823973261</v>
      </c>
      <c r="CE294" s="101"/>
      <c r="CF294" s="101"/>
    </row>
    <row r="295" spans="2:86" x14ac:dyDescent="0.25">
      <c r="B295" s="179">
        <v>18</v>
      </c>
      <c r="C295" s="179" t="s">
        <v>119</v>
      </c>
      <c r="D295" s="201">
        <f>Input!J28</f>
        <v>5400</v>
      </c>
      <c r="E295" s="216">
        <f t="shared" si="50"/>
        <v>0.41937695022620131</v>
      </c>
      <c r="F295" s="230">
        <f>ROUND((D294*E294)+(D295*E295),0)</f>
        <v>5908</v>
      </c>
      <c r="G295" s="201">
        <f t="shared" si="72"/>
        <v>-386.39482805578166</v>
      </c>
      <c r="H295" s="201" t="s">
        <v>143</v>
      </c>
      <c r="I295" s="201" t="s">
        <v>143</v>
      </c>
      <c r="J295" s="201" t="s">
        <v>143</v>
      </c>
      <c r="K295" s="181">
        <f t="shared" si="54"/>
        <v>5521.6051719442185</v>
      </c>
      <c r="M295" s="57">
        <v>18</v>
      </c>
      <c r="N295" s="57" t="s">
        <v>119</v>
      </c>
      <c r="O295" s="231">
        <f t="shared" si="51"/>
        <v>5521.6051719442185</v>
      </c>
      <c r="P295" s="232">
        <f t="shared" si="55"/>
        <v>0.41937695022620131</v>
      </c>
      <c r="Q295" s="181">
        <f>(O294*P294)+(O295*P295)</f>
        <v>5828.8464193110503</v>
      </c>
      <c r="R295" s="225">
        <f t="shared" si="56"/>
        <v>-430.20159996060875</v>
      </c>
      <c r="S295" s="201" t="s">
        <v>143</v>
      </c>
      <c r="T295" s="201" t="s">
        <v>143</v>
      </c>
      <c r="U295" s="201" t="s">
        <v>143</v>
      </c>
      <c r="V295" s="201" t="s">
        <v>143</v>
      </c>
      <c r="W295" s="181">
        <f t="shared" si="57"/>
        <v>5398.644819350442</v>
      </c>
      <c r="X295" s="229"/>
      <c r="Z295" s="57">
        <v>18</v>
      </c>
      <c r="AA295" s="57" t="s">
        <v>119</v>
      </c>
      <c r="AB295" s="167">
        <f t="shared" si="58"/>
        <v>5398.644819350442</v>
      </c>
      <c r="AC295" s="151">
        <f t="shared" si="59"/>
        <v>0.41937695022620131</v>
      </c>
      <c r="AD295" s="181">
        <f>(AB294*AC294)+(AB295*AC295)</f>
        <v>6109.7735445841708</v>
      </c>
      <c r="AE295" s="165">
        <f t="shared" si="60"/>
        <v>-448.04099825970815</v>
      </c>
      <c r="AF295" s="201" t="s">
        <v>143</v>
      </c>
      <c r="AG295" s="201" t="s">
        <v>143</v>
      </c>
      <c r="AH295" s="201" t="s">
        <v>143</v>
      </c>
      <c r="AI295" s="167" t="s">
        <v>143</v>
      </c>
      <c r="AJ295" s="181">
        <f t="shared" si="61"/>
        <v>5661.7325463244624</v>
      </c>
      <c r="AK295" s="66"/>
      <c r="AL295" s="101"/>
      <c r="AM295" s="57">
        <v>18</v>
      </c>
      <c r="AN295" s="57" t="s">
        <v>119</v>
      </c>
      <c r="AO295" s="167">
        <f t="shared" si="75"/>
        <v>5661.7325463244624</v>
      </c>
      <c r="AP295" s="151">
        <f t="shared" si="62"/>
        <v>0.41937695022620131</v>
      </c>
      <c r="AQ295" s="181">
        <f>(AO294*AP294)+(AO295*AP295)</f>
        <v>7360.4395663856867</v>
      </c>
      <c r="AR295" s="165">
        <f t="shared" si="63"/>
        <v>-488.20619519273231</v>
      </c>
      <c r="AS295" s="201" t="s">
        <v>143</v>
      </c>
      <c r="AT295" s="201" t="s">
        <v>143</v>
      </c>
      <c r="AU295" s="201" t="s">
        <v>143</v>
      </c>
      <c r="AV295" s="167" t="s">
        <v>143</v>
      </c>
      <c r="AW295" s="181">
        <f t="shared" si="64"/>
        <v>6872.2333711929541</v>
      </c>
      <c r="AX295" s="100"/>
      <c r="AY295" s="226"/>
      <c r="AZ295" s="57">
        <v>18</v>
      </c>
      <c r="BA295" s="57" t="s">
        <v>119</v>
      </c>
      <c r="BB295" s="167">
        <f t="shared" si="77"/>
        <v>6872.2333711929541</v>
      </c>
      <c r="BC295" s="151">
        <f t="shared" si="65"/>
        <v>0.41937695022620131</v>
      </c>
      <c r="BD295" s="181">
        <f>(BB294*BC294)+(BB295*BC295)</f>
        <v>10038.658234917553</v>
      </c>
      <c r="BE295" s="165">
        <f t="shared" si="66"/>
        <v>-587.28904139309509</v>
      </c>
      <c r="BF295" s="201" t="s">
        <v>143</v>
      </c>
      <c r="BG295" s="201" t="s">
        <v>143</v>
      </c>
      <c r="BH295" s="201" t="s">
        <v>143</v>
      </c>
      <c r="BI295" s="167" t="s">
        <v>143</v>
      </c>
      <c r="BJ295" s="181">
        <f t="shared" si="67"/>
        <v>9451.3691935244588</v>
      </c>
      <c r="BM295" s="57">
        <v>18</v>
      </c>
      <c r="BN295" s="57" t="s">
        <v>119</v>
      </c>
      <c r="BO295" s="167">
        <f t="shared" si="79"/>
        <v>9451.3691935244588</v>
      </c>
      <c r="BP295" s="151">
        <f t="shared" si="68"/>
        <v>0.41937695022620131</v>
      </c>
      <c r="BQ295" s="181">
        <f>(BO294*BP294)+(BO295*BP295)</f>
        <v>11966.372581729052</v>
      </c>
      <c r="BR295" s="165">
        <f t="shared" si="69"/>
        <v>-759.01017678349137</v>
      </c>
      <c r="BS295" s="201" t="s">
        <v>143</v>
      </c>
      <c r="BT295" s="201" t="s">
        <v>143</v>
      </c>
      <c r="BU295" s="201" t="s">
        <v>143</v>
      </c>
      <c r="BV295" s="167" t="s">
        <v>143</v>
      </c>
      <c r="BW295" s="181">
        <f t="shared" si="70"/>
        <v>11207.362404945561</v>
      </c>
      <c r="BX295" s="226"/>
      <c r="BY295" s="66"/>
      <c r="BZ295" s="170" t="s">
        <v>17</v>
      </c>
      <c r="CA295" s="72" t="s">
        <v>95</v>
      </c>
      <c r="CB295" s="233">
        <f>SUM(CB277:CB294)</f>
        <v>360538</v>
      </c>
      <c r="CC295" s="233">
        <f>SUM(CC277:CC294)</f>
        <v>409519.49592018378</v>
      </c>
      <c r="CD295" s="234">
        <f t="shared" si="53"/>
        <v>0.13585668062779452</v>
      </c>
      <c r="CE295" s="101"/>
      <c r="CF295" s="101"/>
    </row>
    <row r="296" spans="2:86" x14ac:dyDescent="0.25">
      <c r="B296" s="191" t="s">
        <v>17</v>
      </c>
      <c r="C296" s="190" t="s">
        <v>95</v>
      </c>
      <c r="D296" s="192">
        <f>SUM(D278:D295)</f>
        <v>360538</v>
      </c>
      <c r="E296" s="190" t="s">
        <v>95</v>
      </c>
      <c r="F296" s="233">
        <f>SUM(F278:F295)</f>
        <v>375122</v>
      </c>
      <c r="G296" s="192">
        <f>SUM(G278:G295)</f>
        <v>-3037.250813931335</v>
      </c>
      <c r="H296" s="204" t="s">
        <v>143</v>
      </c>
      <c r="I296" s="204" t="s">
        <v>143</v>
      </c>
      <c r="J296" s="192">
        <f>SUM(J280:J287)</f>
        <v>25993</v>
      </c>
      <c r="K296" s="192">
        <f>SUM(K278:K295)</f>
        <v>372084.74918606866</v>
      </c>
      <c r="M296" s="170" t="s">
        <v>17</v>
      </c>
      <c r="N296" s="170" t="s">
        <v>95</v>
      </c>
      <c r="O296" s="169">
        <f>SUM(O278:O295)</f>
        <v>372084.74918606866</v>
      </c>
      <c r="P296" s="72" t="s">
        <v>95</v>
      </c>
      <c r="Q296" s="169">
        <f>SUM(Q278:Q295)</f>
        <v>385900.54524074955</v>
      </c>
      <c r="R296" s="235">
        <f>SUM(R278:R295)</f>
        <v>-3144.192358040732</v>
      </c>
      <c r="S296" s="204" t="s">
        <v>143</v>
      </c>
      <c r="T296" s="204" t="s">
        <v>143</v>
      </c>
      <c r="U296" s="204" t="s">
        <v>143</v>
      </c>
      <c r="V296" s="192">
        <f>SUM(V280:V287)</f>
        <v>26138</v>
      </c>
      <c r="W296" s="192">
        <f>SUM(W278:W295)</f>
        <v>382756.35288270877</v>
      </c>
      <c r="X296" s="229"/>
      <c r="Z296" s="170" t="s">
        <v>17</v>
      </c>
      <c r="AA296" s="72" t="s">
        <v>95</v>
      </c>
      <c r="AB296" s="235">
        <f>SUM(AB278:AB295)</f>
        <v>382756.35288270877</v>
      </c>
      <c r="AC296" s="72" t="s">
        <v>95</v>
      </c>
      <c r="AD296" s="169">
        <f>SUM(AD278:AD295)</f>
        <v>395838.14251490158</v>
      </c>
      <c r="AE296" s="169">
        <f>SUM(AE278:AE295)</f>
        <v>-3712.9463088695752</v>
      </c>
      <c r="AF296" s="204" t="s">
        <v>143</v>
      </c>
      <c r="AG296" s="204" t="s">
        <v>143</v>
      </c>
      <c r="AH296" s="204" t="s">
        <v>143</v>
      </c>
      <c r="AI296" s="192">
        <f>SUM(AI280:AI287)</f>
        <v>26597</v>
      </c>
      <c r="AJ296" s="192">
        <f>SUM(AJ278:AJ295)</f>
        <v>392125.19620603201</v>
      </c>
      <c r="AK296" s="74"/>
      <c r="AL296" s="100"/>
      <c r="AM296" s="170" t="s">
        <v>17</v>
      </c>
      <c r="AN296" s="72" t="s">
        <v>95</v>
      </c>
      <c r="AO296" s="169">
        <f>SUM(AO278:AO295)</f>
        <v>392125.19620603201</v>
      </c>
      <c r="AP296" s="72" t="s">
        <v>95</v>
      </c>
      <c r="AQ296" s="169">
        <f>SUM(AQ278:AQ295)</f>
        <v>404131.69176835101</v>
      </c>
      <c r="AR296" s="169">
        <f>SUM(AR278:AR295)</f>
        <v>-4323.8187777018356</v>
      </c>
      <c r="AS296" s="204" t="s">
        <v>143</v>
      </c>
      <c r="AT296" s="204" t="s">
        <v>143</v>
      </c>
      <c r="AU296" s="204" t="s">
        <v>143</v>
      </c>
      <c r="AV296" s="192">
        <f>SUM(AV280:AV287)</f>
        <v>27188</v>
      </c>
      <c r="AW296" s="192">
        <f>SUM(AW278:AW295)</f>
        <v>399807.87299064914</v>
      </c>
      <c r="AX296" s="100"/>
      <c r="AY296" s="100"/>
      <c r="AZ296" s="170" t="s">
        <v>17</v>
      </c>
      <c r="BA296" s="72" t="s">
        <v>95</v>
      </c>
      <c r="BB296" s="169">
        <f>SUM(BB278:BB295)</f>
        <v>399807.87299064914</v>
      </c>
      <c r="BC296" s="72" t="s">
        <v>95</v>
      </c>
      <c r="BD296" s="169">
        <f>SUM(BD278:BD295)</f>
        <v>410325.87519110099</v>
      </c>
      <c r="BE296" s="169">
        <f>SUM(BE278:BE295)</f>
        <v>-4746.0944672825999</v>
      </c>
      <c r="BF296" s="204" t="s">
        <v>143</v>
      </c>
      <c r="BG296" s="204" t="s">
        <v>143</v>
      </c>
      <c r="BH296" s="204" t="s">
        <v>143</v>
      </c>
      <c r="BI296" s="192">
        <f>SUM(BI280:BI287)</f>
        <v>27701</v>
      </c>
      <c r="BJ296" s="192">
        <f>SUM(BJ278:BJ295)</f>
        <v>405579.78072381834</v>
      </c>
      <c r="BM296" s="170" t="s">
        <v>17</v>
      </c>
      <c r="BN296" s="72" t="s">
        <v>95</v>
      </c>
      <c r="BO296" s="235">
        <f>SUM(BO278:BO295)</f>
        <v>405579.78072381834</v>
      </c>
      <c r="BP296" s="72" t="s">
        <v>95</v>
      </c>
      <c r="BQ296" s="169">
        <f>SUM(BQ278:BQ295)</f>
        <v>414620.20805126725</v>
      </c>
      <c r="BR296" s="169">
        <f>SUM(BR278:BR295)</f>
        <v>-5100.7121310835055</v>
      </c>
      <c r="BS296" s="204" t="s">
        <v>143</v>
      </c>
      <c r="BT296" s="204" t="s">
        <v>143</v>
      </c>
      <c r="BU296" s="204" t="s">
        <v>143</v>
      </c>
      <c r="BV296" s="192">
        <f>SUM(BV280:BV287)</f>
        <v>28098</v>
      </c>
      <c r="BW296" s="192">
        <f>SUM(BW278:BW295)</f>
        <v>409519.49592018378</v>
      </c>
      <c r="BX296" s="100"/>
      <c r="BY296" s="66"/>
      <c r="CE296" s="100"/>
      <c r="CF296" s="100"/>
      <c r="CG296" s="100"/>
      <c r="CH296" s="100"/>
    </row>
    <row r="297" spans="2:86" x14ac:dyDescent="0.25">
      <c r="X297" s="229"/>
    </row>
    <row r="298" spans="2:86" x14ac:dyDescent="0.25">
      <c r="M298" s="25" t="s">
        <v>165</v>
      </c>
      <c r="N298" s="37">
        <f>O296+V296-Q296</f>
        <v>12322.20394531911</v>
      </c>
      <c r="X298" s="229"/>
      <c r="Z298" s="25" t="s">
        <v>165</v>
      </c>
      <c r="AA298" s="37">
        <f>AB296+AI296-AD296</f>
        <v>13515.210367807187</v>
      </c>
      <c r="AM298" s="25" t="s">
        <v>165</v>
      </c>
      <c r="AN298" s="37">
        <f>AO296+AV296-AQ296</f>
        <v>15181.504437680996</v>
      </c>
      <c r="AZ298" s="25" t="s">
        <v>165</v>
      </c>
      <c r="BA298" s="37">
        <f>BB296+BI296-BD296</f>
        <v>17182.997799548146</v>
      </c>
      <c r="BM298" s="25" t="s">
        <v>165</v>
      </c>
      <c r="BN298" s="37">
        <f>BO296+BV296-BQ296</f>
        <v>19057.57267255109</v>
      </c>
    </row>
    <row r="299" spans="2:86" x14ac:dyDescent="0.25">
      <c r="C299" s="25" t="s">
        <v>156</v>
      </c>
      <c r="X299" s="229"/>
      <c r="Z299" s="37"/>
      <c r="AM299" s="37"/>
      <c r="AZ299" s="37"/>
      <c r="BM299" s="37"/>
      <c r="BZ299" s="37"/>
    </row>
    <row r="300" spans="2:86" x14ac:dyDescent="0.25">
      <c r="X300" s="229"/>
    </row>
    <row r="301" spans="2:86" x14ac:dyDescent="0.25">
      <c r="C301" s="113" t="str">
        <f>"PF{2}^"&amp;launch.year+5&amp;" = "</f>
        <v xml:space="preserve">PF{2}^2015 = </v>
      </c>
      <c r="D301" s="25" t="str">
        <f>"PF{1}^"&amp;launch.year&amp;" X s{1,2}^{"&amp;launch.year&amp;","&amp;launch.year+5&amp;"}"</f>
        <v>PF{1}^2010 X s{1,2}^{2010,2015}</v>
      </c>
    </row>
    <row r="302" spans="2:86" x14ac:dyDescent="0.25">
      <c r="C302" s="134" t="s">
        <v>136</v>
      </c>
      <c r="D302" s="133" t="str">
        <f>TEXT($D$278,"#,###")&amp;" X "&amp;TEXT($E$278,"#0.000#")</f>
        <v>24,551 X 0.9991</v>
      </c>
    </row>
    <row r="303" spans="2:86" x14ac:dyDescent="0.25">
      <c r="C303" s="134" t="s">
        <v>136</v>
      </c>
      <c r="D303" s="171">
        <f>$D$278*$E$278</f>
        <v>24529.193352948572</v>
      </c>
    </row>
    <row r="305" spans="3:4" x14ac:dyDescent="0.25">
      <c r="C305" s="113" t="str">
        <f>"PF{18}^"&amp;launch.year+5&amp;" = "</f>
        <v xml:space="preserve">PF{18}^2015 = </v>
      </c>
      <c r="D305" s="164" t="str">
        <f>"( PF{17}^"&amp;launch.year&amp;" X s{17,18}^{"&amp;launch.year&amp;","&amp;launch.year+5&amp;"} ) +( PF{18}^"&amp;launch.year&amp;" X s{18,18}^{"&amp;launch.year&amp;","&amp;launch.year+5&amp;"} )"</f>
        <v>( PF{17}^2010 X s{17,18}^{2010,2015} ) +( PF{18}^2010 X s{18,18}^{2010,2015} )</v>
      </c>
    </row>
    <row r="306" spans="3:4" x14ac:dyDescent="0.25">
      <c r="C306" s="134" t="s">
        <v>136</v>
      </c>
      <c r="D306" s="133" t="str">
        <f>"( "&amp;TEXT($D$294,"#,###")&amp;" X "&amp;TEXT($E$294,"#0.###0")&amp;") + ("&amp;TEXT($D$295,"#,###")&amp;" X "&amp;TEXT($E$295,"#0.000#")&amp;" )"</f>
        <v>( 5,287 X 0.6891) + (5,400 X 0.4194 )</v>
      </c>
    </row>
    <row r="307" spans="3:4" x14ac:dyDescent="0.25">
      <c r="C307" s="134" t="s">
        <v>136</v>
      </c>
      <c r="D307" s="171">
        <f>($D$294*$E$294)+($D$295*$E$295)</f>
        <v>5907.6430315273719</v>
      </c>
    </row>
    <row r="309" spans="3:4" x14ac:dyDescent="0.25">
      <c r="C309" s="25" t="s">
        <v>157</v>
      </c>
    </row>
    <row r="311" spans="3:4" x14ac:dyDescent="0.25">
      <c r="C311" s="113" t="str">
        <f>"PF{2}^"&amp;launch.year+5&amp;" = "</f>
        <v xml:space="preserve">PF{2}^2015 = </v>
      </c>
      <c r="D311" s="25" t="str">
        <f>"PF{2}^"&amp;launch.year&amp;" + NMF{2}^{"&amp;launch.year&amp;","&amp;launch.year+5&amp;"}"</f>
        <v>PF{2}^2010 + NMF{2}^{2010,2015}</v>
      </c>
    </row>
    <row r="312" spans="3:4" x14ac:dyDescent="0.25">
      <c r="C312" s="134" t="s">
        <v>136</v>
      </c>
      <c r="D312" s="171" t="str">
        <f>TEXT($F$279,"#,###")&amp;" + ("&amp;TEXT($G$279,"#,###")&amp;")"</f>
        <v>24,529 + (-1,193)</v>
      </c>
    </row>
    <row r="313" spans="3:4" x14ac:dyDescent="0.25">
      <c r="C313" s="134" t="s">
        <v>136</v>
      </c>
      <c r="D313" s="171">
        <f>$F$279+$G$279</f>
        <v>23335.991518011288</v>
      </c>
    </row>
    <row r="315" spans="3:4" x14ac:dyDescent="0.25">
      <c r="C315" s="25" t="s">
        <v>158</v>
      </c>
    </row>
    <row r="317" spans="3:4" x14ac:dyDescent="0.25">
      <c r="C317" s="113" t="str">
        <f>"BF{3}^{"&amp;launch.year&amp;","&amp;launch.year+5&amp;"} = "</f>
        <v xml:space="preserve">BF{3}^{2010,2015} = </v>
      </c>
      <c r="D317" s="25" t="str">
        <f>"[ ( PF{3}^"&amp;launch.year&amp;" + PF{3}^"&amp;launch.year+5&amp;"  )  / 2 ] X [ ( ff{3}^{"&amp;launch.year&amp;","&amp;launch.year+5&amp;"} + ff{3}^{"&amp;launch.year+5&amp;","&amp;launch.year+10&amp;"} ) / 2 ]"</f>
        <v>[ ( PF{3}^2010 + PF{3}^2015  )  / 2 ] X [ ( ff{3}^{2010,2015} + ff{3}^{2015,2020} ) / 2 ]</v>
      </c>
    </row>
    <row r="318" spans="3:4" x14ac:dyDescent="0.25">
      <c r="C318" s="134" t="s">
        <v>108</v>
      </c>
      <c r="D318" s="133" t="str">
        <f>"[ ( "&amp;TEXT($D$280,"#,###")&amp;" +"&amp;TEXT($K$280,"#,###")&amp;" ) / 2 ] X [ ( "&amp;TEXT($I$280,"#0.###0")&amp;" + "&amp;TEXT($H$280,"#0.###0")&amp;" ) / 2 ]"</f>
        <v>[ ( 20,882 +21,553 ) / 2 ] X [ ( 0.0516 + 0.0516 ) / 2 ]</v>
      </c>
    </row>
    <row r="319" spans="3:4" x14ac:dyDescent="0.25">
      <c r="C319" s="134" t="s">
        <v>136</v>
      </c>
      <c r="D319" s="171">
        <f>(($D$280+$K$280)/2)*(($I$280+$H$280)/2)</f>
        <v>1094.8119397809971</v>
      </c>
    </row>
    <row r="321" spans="3:98" x14ac:dyDescent="0.25">
      <c r="C321" s="133" t="s">
        <v>159</v>
      </c>
    </row>
    <row r="323" spans="3:98" x14ac:dyDescent="0.25">
      <c r="C323" s="113" t="str">
        <f>"PF{1)^"&amp;launch.year+5&amp;" = "</f>
        <v xml:space="preserve">PF{1)^2015 = </v>
      </c>
      <c r="D323" s="25" t="str">
        <f>"[ BF^{"&amp;launch.year&amp;","&amp;launch.year+5&amp;"} X s{0,1}^{"&amp;launch.year&amp;","&amp;launch.year+5&amp;"}] + NMF{1}^{"&amp;launch.year&amp;","&amp;launch.year+5&amp;"}"</f>
        <v>[ BF^{2010,2015} X s{0,1}^{2010,2015}] + NMF{1}^{2010,2015}</v>
      </c>
    </row>
    <row r="324" spans="3:98" x14ac:dyDescent="0.25">
      <c r="C324" s="134" t="s">
        <v>136</v>
      </c>
      <c r="D324" s="133" t="str">
        <f>"( "&amp;TEXT($J$296,"#,###")&amp;" X "&amp;TEXT($E$277,"#0.###0")&amp;" ) + "&amp;TEXT($G$278,"##,###")</f>
        <v>( 25,993 X 0.9941 ) + -1,594</v>
      </c>
    </row>
    <row r="325" spans="3:98" x14ac:dyDescent="0.25">
      <c r="C325" s="134" t="s">
        <v>136</v>
      </c>
      <c r="D325" s="171">
        <f>($J$296*$E$277)+$G$278</f>
        <v>24245.933896981347</v>
      </c>
    </row>
    <row r="326" spans="3:98" x14ac:dyDescent="0.25">
      <c r="CH326" s="228"/>
      <c r="CI326" s="228"/>
      <c r="CJ326" s="228"/>
      <c r="CK326" s="228"/>
      <c r="CL326" s="228"/>
      <c r="CM326" s="196"/>
      <c r="CN326" s="195"/>
      <c r="CO326" s="195"/>
      <c r="CP326" s="195"/>
      <c r="CQ326" s="195"/>
      <c r="CR326" s="195"/>
      <c r="CS326" s="195"/>
      <c r="CT326" s="195"/>
    </row>
    <row r="327" spans="3:98" x14ac:dyDescent="0.25">
      <c r="CF327" s="228"/>
      <c r="CG327" s="228"/>
      <c r="CH327" s="228"/>
      <c r="CI327" s="228"/>
      <c r="CJ327" s="228"/>
      <c r="CK327" s="196"/>
      <c r="CL327" s="195"/>
      <c r="CM327" s="195"/>
      <c r="CN327" s="195"/>
      <c r="CO327" s="195"/>
      <c r="CP327" s="195"/>
      <c r="CQ327" s="195"/>
      <c r="CR327" s="195"/>
    </row>
    <row r="328" spans="3:98" x14ac:dyDescent="0.25">
      <c r="C328" s="25" t="str">
        <f>"Projecting Male Net Migration: "&amp;study.area&amp;", "&amp;launch.year&amp;" to "&amp;launch.year+5</f>
        <v>Projecting Male Net Migration: DeKalb County, 2010 to 2015</v>
      </c>
      <c r="O328" s="25" t="str">
        <f>"Projecting Male Net Migration: "&amp;study.area&amp;", "&amp;launch.year+5&amp;" to "&amp;launch.year+10</f>
        <v>Projecting Male Net Migration: DeKalb County, 2015 to 2020</v>
      </c>
      <c r="AB328" s="25" t="str">
        <f>"Projecting Male Net Migration: "&amp;study.area&amp;", "&amp;launch.year+10&amp;" to "&amp;launch.year+15</f>
        <v>Projecting Male Net Migration: DeKalb County, 2020 to 2025</v>
      </c>
      <c r="AO328" s="25" t="str">
        <f>"Projecting Male Net Migration: "&amp;study.area&amp;", "&amp;launch.year+15&amp;" to "&amp;launch.year+20</f>
        <v>Projecting Male Net Migration: DeKalb County, 2025 to 2030</v>
      </c>
      <c r="BB328" s="25" t="str">
        <f>"Projecting Male Net Migration: "&amp;study.area&amp;", "&amp;launch.year+20&amp;" to "&amp;launch.year+25</f>
        <v>Projecting Male Net Migration: DeKalb County, 2030 to 2035</v>
      </c>
      <c r="BO328" s="25" t="str">
        <f>"Projecting Male Net Migration: "&amp;study.area&amp;", "&amp;launch.year+25&amp;" to "&amp;launch.year+30</f>
        <v>Projecting Male Net Migration: DeKalb County, 2035 to 2040</v>
      </c>
      <c r="CF328" s="228"/>
      <c r="CG328" s="228"/>
      <c r="CH328" s="228"/>
      <c r="CI328" s="228"/>
      <c r="CJ328" s="228"/>
      <c r="CK328" s="196"/>
      <c r="CL328" s="195"/>
      <c r="CM328" s="195"/>
      <c r="CN328" s="195"/>
      <c r="CO328" s="195"/>
      <c r="CP328" s="195"/>
      <c r="CQ328" s="195"/>
      <c r="CR328" s="195"/>
    </row>
    <row r="329" spans="3:98" x14ac:dyDescent="0.25">
      <c r="CF329" s="228"/>
      <c r="CG329" s="228"/>
      <c r="CH329" s="228"/>
      <c r="CI329" s="228"/>
      <c r="CJ329" s="228"/>
      <c r="CK329" s="196"/>
      <c r="CL329" s="195"/>
      <c r="CM329" s="195"/>
      <c r="CN329" s="195"/>
      <c r="CO329" s="195"/>
      <c r="CP329" s="195"/>
      <c r="CQ329" s="195"/>
      <c r="CR329" s="195"/>
    </row>
    <row r="330" spans="3:98" ht="30" x14ac:dyDescent="0.25">
      <c r="C330" s="176" t="s">
        <v>6</v>
      </c>
      <c r="D330" s="194" t="s">
        <v>148</v>
      </c>
      <c r="E330" s="176" t="str">
        <f>launch.year&amp;" National Male Population"</f>
        <v>2010 National Male Population</v>
      </c>
      <c r="F330" s="176" t="s">
        <v>140</v>
      </c>
      <c r="G330" s="176" t="s">
        <v>149</v>
      </c>
      <c r="O330" s="175" t="s">
        <v>6</v>
      </c>
      <c r="P330" s="194" t="s">
        <v>148</v>
      </c>
      <c r="Q330" s="176" t="str">
        <f>launch.year+5&amp;" National Male Population"</f>
        <v>2015 National Male Population</v>
      </c>
      <c r="R330" s="176" t="s">
        <v>140</v>
      </c>
      <c r="S330" s="176" t="s">
        <v>149</v>
      </c>
      <c r="AB330" s="175" t="s">
        <v>6</v>
      </c>
      <c r="AC330" s="194" t="s">
        <v>148</v>
      </c>
      <c r="AD330" s="176" t="str">
        <f>launch.year+10&amp;" National Male Population"</f>
        <v>2020 National Male Population</v>
      </c>
      <c r="AE330" s="176" t="s">
        <v>140</v>
      </c>
      <c r="AF330" s="176" t="s">
        <v>149</v>
      </c>
      <c r="AO330" s="175" t="s">
        <v>6</v>
      </c>
      <c r="AP330" s="194" t="s">
        <v>148</v>
      </c>
      <c r="AQ330" s="176" t="str">
        <f>launch.year+15&amp;" National Male Population"</f>
        <v>2025 National Male Population</v>
      </c>
      <c r="AR330" s="176" t="s">
        <v>140</v>
      </c>
      <c r="AS330" s="176" t="s">
        <v>149</v>
      </c>
      <c r="BB330" s="175" t="s">
        <v>6</v>
      </c>
      <c r="BC330" s="194" t="s">
        <v>148</v>
      </c>
      <c r="BD330" s="176" t="str">
        <f>launch.year+20&amp;" National Male Population"</f>
        <v>2030 National Male Population</v>
      </c>
      <c r="BE330" s="176" t="s">
        <v>140</v>
      </c>
      <c r="BF330" s="176" t="s">
        <v>149</v>
      </c>
      <c r="BO330" s="175" t="s">
        <v>6</v>
      </c>
      <c r="BP330" s="194" t="s">
        <v>148</v>
      </c>
      <c r="BQ330" s="176" t="str">
        <f>launch.year+25&amp;" National Male Population"</f>
        <v>2035 National Male Population</v>
      </c>
      <c r="BR330" s="176" t="s">
        <v>140</v>
      </c>
      <c r="BS330" s="176" t="s">
        <v>149</v>
      </c>
      <c r="CF330" s="228"/>
      <c r="CG330" s="228"/>
      <c r="CH330" s="228"/>
      <c r="CI330" s="228"/>
      <c r="CJ330" s="228"/>
      <c r="CK330" s="196"/>
      <c r="CL330" s="195"/>
      <c r="CM330" s="195"/>
      <c r="CN330" s="195"/>
      <c r="CO330" s="195"/>
      <c r="CP330" s="195"/>
      <c r="CQ330" s="195"/>
      <c r="CR330" s="195"/>
    </row>
    <row r="331" spans="3:98" x14ac:dyDescent="0.25">
      <c r="C331" s="179" t="s">
        <v>31</v>
      </c>
      <c r="D331" s="179"/>
      <c r="E331" s="179" t="str">
        <f>"PNM{n}^"&amp;launch.year</f>
        <v>PNM{n}^2010</v>
      </c>
      <c r="F331" s="179" t="str">
        <f>"nmm{n}^{"&amp;launch.year&amp;","&amp;launch.year+5&amp;"}"</f>
        <v>nmm{n}^{2010,2015}</v>
      </c>
      <c r="G331" s="179" t="str">
        <f>"NMM{n}^{"&amp;launch.year&amp;","&amp;launch.year+5&amp;"}"</f>
        <v>NMM{n}^{2010,2015}</v>
      </c>
      <c r="O331" s="179" t="s">
        <v>31</v>
      </c>
      <c r="P331" s="179"/>
      <c r="Q331" s="179" t="str">
        <f>"PNM{n}^"&amp;launch.year+5</f>
        <v>PNM{n}^2015</v>
      </c>
      <c r="R331" s="179" t="str">
        <f>"nmm{n}^{"&amp;launch.year+5&amp;","&amp;launch.year+10&amp;"}"</f>
        <v>nmm{n}^{2015,2020}</v>
      </c>
      <c r="S331" s="179" t="str">
        <f>"NMM{n}^{"&amp;launch.year+5&amp;","&amp;launch.year+10&amp;"}"</f>
        <v>NMM{n}^{2015,2020}</v>
      </c>
      <c r="AB331" s="179" t="s">
        <v>31</v>
      </c>
      <c r="AC331" s="179"/>
      <c r="AD331" s="179" t="str">
        <f>"PNM{n}^"&amp;launch.year+10</f>
        <v>PNM{n}^2020</v>
      </c>
      <c r="AE331" s="179" t="str">
        <f>"nmm{n}^{"&amp;launch.year+10&amp;","&amp;launch.year+15&amp;"}"</f>
        <v>nmm{n}^{2020,2025}</v>
      </c>
      <c r="AF331" s="179" t="str">
        <f>"NMM{n}^{"&amp;launch.year+10&amp;","&amp;launch.year+15&amp;"}"</f>
        <v>NMM{n}^{2020,2025}</v>
      </c>
      <c r="AO331" s="179" t="s">
        <v>31</v>
      </c>
      <c r="AP331" s="179"/>
      <c r="AQ331" s="179" t="str">
        <f>"PNM{n}^"&amp;launch.year+15</f>
        <v>PNM{n}^2025</v>
      </c>
      <c r="AR331" s="179" t="str">
        <f>"nmm{n}^{"&amp;launch.year+15&amp;","&amp;launch.year+20&amp;"}"</f>
        <v>nmm{n}^{2025,2030}</v>
      </c>
      <c r="AS331" s="179" t="str">
        <f>"NMM{n}^{"&amp;launch.year+15&amp;","&amp;launch.year+20&amp;"}"</f>
        <v>NMM{n}^{2025,2030}</v>
      </c>
      <c r="BB331" s="179" t="s">
        <v>31</v>
      </c>
      <c r="BC331" s="179"/>
      <c r="BD331" s="179" t="str">
        <f>"PNM{n}^"&amp;launch.year+20</f>
        <v>PNM{n}^2030</v>
      </c>
      <c r="BE331" s="179" t="str">
        <f>"nmm{n}^{"&amp;launch.year+20&amp;","&amp;launch.year+25&amp;"}"</f>
        <v>nmm{n}^{2030,2035}</v>
      </c>
      <c r="BF331" s="179" t="str">
        <f>"NMM{n}^{"&amp;launch.year+20&amp;","&amp;launch.year+25&amp;"}"</f>
        <v>NMM{n}^{2030,2035}</v>
      </c>
      <c r="BO331" s="179" t="s">
        <v>31</v>
      </c>
      <c r="BP331" s="179"/>
      <c r="BQ331" s="179" t="str">
        <f>"PNM{n}^"&amp;launch.year+25</f>
        <v>PNM{n}^2035</v>
      </c>
      <c r="BR331" s="179" t="str">
        <f>"nmm{n}^{"&amp;launch.year+25&amp;","&amp;launch.year+30&amp;"}"</f>
        <v>nmm{n}^{2035,2040}</v>
      </c>
      <c r="BS331" s="179" t="str">
        <f>"NMM{n}^{"&amp;launch.year+25&amp;","&amp;launch.year+30&amp;"}"</f>
        <v>NMM{n}^{2035,2040}</v>
      </c>
      <c r="CF331" s="228"/>
      <c r="CG331" s="228"/>
      <c r="CH331" s="228"/>
      <c r="CI331" s="228"/>
      <c r="CJ331" s="228"/>
      <c r="CK331" s="196"/>
      <c r="CL331" s="195"/>
      <c r="CM331" s="195"/>
      <c r="CN331" s="195"/>
      <c r="CO331" s="195"/>
      <c r="CP331" s="195"/>
      <c r="CQ331" s="195"/>
      <c r="CR331" s="195"/>
    </row>
    <row r="332" spans="3:98" x14ac:dyDescent="0.25">
      <c r="C332" s="180" t="s">
        <v>9</v>
      </c>
      <c r="D332" s="180" t="s">
        <v>10</v>
      </c>
      <c r="E332" s="180" t="s">
        <v>11</v>
      </c>
      <c r="F332" s="180" t="s">
        <v>12</v>
      </c>
      <c r="G332" s="180" t="s">
        <v>13</v>
      </c>
      <c r="O332" s="180" t="s">
        <v>9</v>
      </c>
      <c r="P332" s="180" t="s">
        <v>10</v>
      </c>
      <c r="Q332" s="180" t="s">
        <v>11</v>
      </c>
      <c r="R332" s="180" t="s">
        <v>12</v>
      </c>
      <c r="S332" s="180" t="s">
        <v>13</v>
      </c>
      <c r="AB332" s="180" t="s">
        <v>9</v>
      </c>
      <c r="AC332" s="180" t="s">
        <v>10</v>
      </c>
      <c r="AD332" s="180" t="s">
        <v>11</v>
      </c>
      <c r="AE332" s="180" t="s">
        <v>12</v>
      </c>
      <c r="AF332" s="180" t="s">
        <v>13</v>
      </c>
      <c r="AO332" s="180" t="s">
        <v>9</v>
      </c>
      <c r="AP332" s="180" t="s">
        <v>10</v>
      </c>
      <c r="AQ332" s="180" t="s">
        <v>11</v>
      </c>
      <c r="AR332" s="180" t="s">
        <v>12</v>
      </c>
      <c r="AS332" s="180" t="s">
        <v>13</v>
      </c>
      <c r="BB332" s="180" t="s">
        <v>9</v>
      </c>
      <c r="BC332" s="180" t="s">
        <v>10</v>
      </c>
      <c r="BD332" s="180" t="s">
        <v>11</v>
      </c>
      <c r="BE332" s="180" t="s">
        <v>12</v>
      </c>
      <c r="BF332" s="180" t="s">
        <v>13</v>
      </c>
      <c r="BO332" s="180" t="s">
        <v>9</v>
      </c>
      <c r="BP332" s="180" t="s">
        <v>10</v>
      </c>
      <c r="BQ332" s="180" t="s">
        <v>11</v>
      </c>
      <c r="BR332" s="180" t="s">
        <v>12</v>
      </c>
      <c r="BS332" s="180" t="s">
        <v>13</v>
      </c>
      <c r="CF332" s="228"/>
      <c r="CG332" s="228"/>
      <c r="CH332" s="228"/>
      <c r="CI332" s="228"/>
      <c r="CJ332" s="228"/>
      <c r="CK332" s="196"/>
      <c r="CL332" s="195"/>
      <c r="CM332" s="195"/>
      <c r="CN332" s="195"/>
      <c r="CO332" s="195"/>
      <c r="CP332" s="195"/>
      <c r="CQ332" s="195"/>
      <c r="CR332" s="195"/>
    </row>
    <row r="333" spans="3:98" x14ac:dyDescent="0.25">
      <c r="C333" s="199">
        <v>1</v>
      </c>
      <c r="D333" s="200" t="s">
        <v>38</v>
      </c>
      <c r="E333" s="181">
        <f>Input!AD11</f>
        <v>10319427</v>
      </c>
      <c r="F333" s="184">
        <f t="shared" ref="F333:F350" si="94">N201</f>
        <v>-1.8262000000000001E-4</v>
      </c>
      <c r="G333" s="201">
        <f t="shared" ref="G333:G350" si="95">E333*F333</f>
        <v>-1884.5337587400002</v>
      </c>
      <c r="O333" s="199">
        <v>1</v>
      </c>
      <c r="P333" s="200" t="s">
        <v>38</v>
      </c>
      <c r="Q333" s="181">
        <f>Input!AF11</f>
        <v>10210568</v>
      </c>
      <c r="R333" s="184">
        <f>F333</f>
        <v>-1.8262000000000001E-4</v>
      </c>
      <c r="S333" s="201">
        <f t="shared" ref="S333:S350" si="96">Q333*R333</f>
        <v>-1864.6539281600001</v>
      </c>
      <c r="AB333" s="199">
        <v>1</v>
      </c>
      <c r="AC333" s="200" t="s">
        <v>38</v>
      </c>
      <c r="AD333" s="181">
        <f>Input!AH11</f>
        <v>10520175</v>
      </c>
      <c r="AE333" s="184">
        <f t="shared" ref="AE333:AE350" si="97">R333</f>
        <v>-1.8262000000000001E-4</v>
      </c>
      <c r="AF333" s="201">
        <f t="shared" ref="AF333:AF350" si="98">AD333*AE333</f>
        <v>-1921.1943585000001</v>
      </c>
      <c r="AO333" s="199">
        <v>1</v>
      </c>
      <c r="AP333" s="200" t="s">
        <v>38</v>
      </c>
      <c r="AQ333" s="181">
        <f>Input!AJ11</f>
        <v>10746672</v>
      </c>
      <c r="AR333" s="184">
        <f t="shared" ref="AR333:AR350" si="99">AE333</f>
        <v>-1.8262000000000001E-4</v>
      </c>
      <c r="AS333" s="201">
        <f t="shared" ref="AS333:AS350" si="100">AQ333*AR333</f>
        <v>-1962.5572406400001</v>
      </c>
      <c r="BB333" s="199">
        <v>1</v>
      </c>
      <c r="BC333" s="200" t="s">
        <v>38</v>
      </c>
      <c r="BD333" s="165">
        <f>Input!AL11</f>
        <v>10832689</v>
      </c>
      <c r="BE333" s="236">
        <f t="shared" ref="BE333:BE350" si="101">AR333</f>
        <v>-1.8262000000000001E-4</v>
      </c>
      <c r="BF333" s="167">
        <f t="shared" ref="BF333:BF350" si="102">BD333*BE333</f>
        <v>-1978.26566518</v>
      </c>
      <c r="BO333" s="199">
        <v>1</v>
      </c>
      <c r="BP333" s="200" t="s">
        <v>38</v>
      </c>
      <c r="BQ333" s="181">
        <f>Input!AN11</f>
        <v>10878963</v>
      </c>
      <c r="BR333" s="184">
        <f t="shared" ref="BR333:BR350" si="103">BE333</f>
        <v>-1.8262000000000001E-4</v>
      </c>
      <c r="BS333" s="201">
        <f t="shared" ref="BS333:BS350" si="104">BQ333*BR333</f>
        <v>-1986.7162230600002</v>
      </c>
      <c r="CF333" s="228"/>
      <c r="CG333" s="228"/>
      <c r="CH333" s="228"/>
      <c r="CI333" s="228"/>
      <c r="CJ333" s="228"/>
      <c r="CK333" s="196"/>
      <c r="CL333" s="195"/>
      <c r="CM333" s="195"/>
      <c r="CN333" s="195"/>
      <c r="CO333" s="195"/>
      <c r="CP333" s="195"/>
      <c r="CQ333" s="195"/>
      <c r="CR333" s="195"/>
    </row>
    <row r="334" spans="3:98" x14ac:dyDescent="0.25">
      <c r="C334" s="202">
        <v>2</v>
      </c>
      <c r="D334" s="200" t="s">
        <v>39</v>
      </c>
      <c r="E334" s="181">
        <f>Input!AD12</f>
        <v>10389638</v>
      </c>
      <c r="F334" s="184">
        <f t="shared" si="94"/>
        <v>-1.3212E-4</v>
      </c>
      <c r="G334" s="201">
        <f t="shared" si="95"/>
        <v>-1372.6789725599999</v>
      </c>
      <c r="O334" s="202">
        <v>2</v>
      </c>
      <c r="P334" s="200" t="s">
        <v>39</v>
      </c>
      <c r="Q334" s="181">
        <f>Input!AF12</f>
        <v>10447888</v>
      </c>
      <c r="R334" s="184">
        <f t="shared" ref="R334:R350" si="105">F334</f>
        <v>-1.3212E-4</v>
      </c>
      <c r="S334" s="201">
        <f t="shared" si="96"/>
        <v>-1380.3749625600001</v>
      </c>
      <c r="AB334" s="202">
        <v>2</v>
      </c>
      <c r="AC334" s="200" t="s">
        <v>39</v>
      </c>
      <c r="AD334" s="181">
        <f>Input!AH12</f>
        <v>10360134</v>
      </c>
      <c r="AE334" s="184">
        <f t="shared" si="97"/>
        <v>-1.3212E-4</v>
      </c>
      <c r="AF334" s="201">
        <f t="shared" si="98"/>
        <v>-1368.78090408</v>
      </c>
      <c r="AO334" s="202">
        <v>2</v>
      </c>
      <c r="AP334" s="200" t="s">
        <v>39</v>
      </c>
      <c r="AQ334" s="181">
        <f>Input!AJ12</f>
        <v>10675532</v>
      </c>
      <c r="AR334" s="184">
        <f t="shared" si="99"/>
        <v>-1.3212E-4</v>
      </c>
      <c r="AS334" s="201">
        <f t="shared" si="100"/>
        <v>-1410.4512878400001</v>
      </c>
      <c r="BB334" s="202">
        <v>2</v>
      </c>
      <c r="BC334" s="200" t="s">
        <v>39</v>
      </c>
      <c r="BD334" s="165">
        <f>Input!AL12</f>
        <v>10909761</v>
      </c>
      <c r="BE334" s="236">
        <f t="shared" si="101"/>
        <v>-1.3212E-4</v>
      </c>
      <c r="BF334" s="167">
        <f t="shared" si="102"/>
        <v>-1441.3976233200001</v>
      </c>
      <c r="BO334" s="202">
        <v>2</v>
      </c>
      <c r="BP334" s="200" t="s">
        <v>39</v>
      </c>
      <c r="BQ334" s="181">
        <f>Input!AN12</f>
        <v>11002747</v>
      </c>
      <c r="BR334" s="184">
        <f t="shared" si="103"/>
        <v>-1.3212E-4</v>
      </c>
      <c r="BS334" s="201">
        <f t="shared" si="104"/>
        <v>-1453.6829336400001</v>
      </c>
      <c r="CF334" s="228"/>
      <c r="CG334" s="228"/>
      <c r="CH334" s="228"/>
      <c r="CI334" s="228"/>
      <c r="CJ334" s="228"/>
      <c r="CK334" s="196"/>
      <c r="CL334" s="195"/>
      <c r="CM334" s="195"/>
      <c r="CN334" s="195"/>
      <c r="CO334" s="195"/>
      <c r="CP334" s="195"/>
      <c r="CQ334" s="195"/>
      <c r="CR334" s="195"/>
    </row>
    <row r="335" spans="3:98" x14ac:dyDescent="0.25">
      <c r="C335" s="202">
        <v>3</v>
      </c>
      <c r="D335" s="200" t="s">
        <v>40</v>
      </c>
      <c r="E335" s="181">
        <f>Input!AD13</f>
        <v>10579862</v>
      </c>
      <c r="F335" s="184">
        <f t="shared" si="94"/>
        <v>-5.3890000000000001E-5</v>
      </c>
      <c r="G335" s="201">
        <f t="shared" si="95"/>
        <v>-570.14876318000006</v>
      </c>
      <c r="O335" s="202">
        <v>3</v>
      </c>
      <c r="P335" s="200" t="s">
        <v>40</v>
      </c>
      <c r="Q335" s="181">
        <f>Input!AF13</f>
        <v>10513167</v>
      </c>
      <c r="R335" s="184">
        <f t="shared" si="105"/>
        <v>-5.3890000000000001E-5</v>
      </c>
      <c r="S335" s="201">
        <f t="shared" si="96"/>
        <v>-566.55456963000006</v>
      </c>
      <c r="AB335" s="202">
        <v>3</v>
      </c>
      <c r="AC335" s="200" t="s">
        <v>40</v>
      </c>
      <c r="AD335" s="181">
        <f>Input!AH13</f>
        <v>10584485</v>
      </c>
      <c r="AE335" s="184">
        <f t="shared" si="97"/>
        <v>-5.3890000000000001E-5</v>
      </c>
      <c r="AF335" s="201">
        <f t="shared" si="98"/>
        <v>-570.39789665000001</v>
      </c>
      <c r="AO335" s="202">
        <v>3</v>
      </c>
      <c r="AP335" s="200" t="s">
        <v>40</v>
      </c>
      <c r="AQ335" s="181">
        <f>Input!AJ13</f>
        <v>10500100</v>
      </c>
      <c r="AR335" s="184">
        <f t="shared" si="99"/>
        <v>-5.3890000000000001E-5</v>
      </c>
      <c r="AS335" s="201">
        <f t="shared" si="100"/>
        <v>-565.85038900000006</v>
      </c>
      <c r="BB335" s="202">
        <v>3</v>
      </c>
      <c r="BC335" s="200" t="s">
        <v>40</v>
      </c>
      <c r="BD335" s="165">
        <f>Input!AL13</f>
        <v>10821240</v>
      </c>
      <c r="BE335" s="236">
        <f t="shared" si="101"/>
        <v>-5.3890000000000001E-5</v>
      </c>
      <c r="BF335" s="167">
        <f t="shared" si="102"/>
        <v>-583.15662359999999</v>
      </c>
      <c r="BO335" s="202">
        <v>3</v>
      </c>
      <c r="BP335" s="200" t="s">
        <v>40</v>
      </c>
      <c r="BQ335" s="181">
        <f>Input!AN13</f>
        <v>11060694</v>
      </c>
      <c r="BR335" s="184">
        <f t="shared" si="103"/>
        <v>-5.3890000000000001E-5</v>
      </c>
      <c r="BS335" s="201">
        <f t="shared" si="104"/>
        <v>-596.06079966000004</v>
      </c>
      <c r="CF335" s="228"/>
      <c r="CG335" s="228"/>
      <c r="CH335" s="228"/>
      <c r="CI335" s="228"/>
      <c r="CJ335" s="228"/>
      <c r="CK335" s="196"/>
      <c r="CL335" s="195"/>
      <c r="CM335" s="195"/>
      <c r="CN335" s="195"/>
      <c r="CO335" s="195"/>
      <c r="CP335" s="195"/>
      <c r="CQ335" s="195"/>
      <c r="CR335" s="195"/>
    </row>
    <row r="336" spans="3:98" x14ac:dyDescent="0.25">
      <c r="C336" s="202">
        <v>4</v>
      </c>
      <c r="D336" s="202" t="s">
        <v>80</v>
      </c>
      <c r="E336" s="181">
        <f>Input!AD14</f>
        <v>11303666</v>
      </c>
      <c r="F336" s="184">
        <f t="shared" si="94"/>
        <v>1.1074E-4</v>
      </c>
      <c r="G336" s="201">
        <f t="shared" si="95"/>
        <v>1251.7679728400001</v>
      </c>
      <c r="O336" s="202">
        <v>4</v>
      </c>
      <c r="P336" s="202" t="s">
        <v>80</v>
      </c>
      <c r="Q336" s="181">
        <f>Input!AF14</f>
        <v>10795574</v>
      </c>
      <c r="R336" s="184">
        <f t="shared" si="105"/>
        <v>1.1074E-4</v>
      </c>
      <c r="S336" s="201">
        <f t="shared" si="96"/>
        <v>1195.50186476</v>
      </c>
      <c r="AB336" s="202">
        <v>4</v>
      </c>
      <c r="AC336" s="202" t="s">
        <v>80</v>
      </c>
      <c r="AD336" s="181">
        <f>Input!AH14</f>
        <v>10749161</v>
      </c>
      <c r="AE336" s="184">
        <f t="shared" si="97"/>
        <v>1.1074E-4</v>
      </c>
      <c r="AF336" s="201">
        <f t="shared" si="98"/>
        <v>1190.3620891400001</v>
      </c>
      <c r="AO336" s="202">
        <v>4</v>
      </c>
      <c r="AP336" s="202" t="s">
        <v>80</v>
      </c>
      <c r="AQ336" s="181">
        <f>Input!AJ14</f>
        <v>10835133</v>
      </c>
      <c r="AR336" s="184">
        <f t="shared" si="99"/>
        <v>1.1074E-4</v>
      </c>
      <c r="AS336" s="201">
        <f t="shared" si="100"/>
        <v>1199.8826284199999</v>
      </c>
      <c r="BB336" s="202">
        <v>4</v>
      </c>
      <c r="BC336" s="202" t="s">
        <v>80</v>
      </c>
      <c r="BD336" s="165">
        <f>Input!AL14</f>
        <v>10761574</v>
      </c>
      <c r="BE336" s="236">
        <f t="shared" si="101"/>
        <v>1.1074E-4</v>
      </c>
      <c r="BF336" s="167">
        <f t="shared" si="102"/>
        <v>1191.7367047600001</v>
      </c>
      <c r="BO336" s="202">
        <v>4</v>
      </c>
      <c r="BP336" s="202" t="s">
        <v>80</v>
      </c>
      <c r="BQ336" s="181">
        <f>Input!AN14</f>
        <v>11092640</v>
      </c>
      <c r="BR336" s="184">
        <f t="shared" si="103"/>
        <v>1.1074E-4</v>
      </c>
      <c r="BS336" s="201">
        <f t="shared" si="104"/>
        <v>1228.3989535999999</v>
      </c>
      <c r="CF336" s="228"/>
      <c r="CG336" s="228"/>
      <c r="CH336" s="228"/>
      <c r="CI336" s="228"/>
      <c r="CJ336" s="228"/>
      <c r="CK336" s="196"/>
      <c r="CL336" s="195"/>
      <c r="CM336" s="195"/>
      <c r="CN336" s="195"/>
      <c r="CO336" s="195"/>
      <c r="CP336" s="195"/>
      <c r="CQ336" s="195"/>
      <c r="CR336" s="195"/>
    </row>
    <row r="337" spans="3:96" x14ac:dyDescent="0.25">
      <c r="C337" s="202">
        <v>5</v>
      </c>
      <c r="D337" s="202" t="s">
        <v>81</v>
      </c>
      <c r="E337" s="181">
        <f>Input!AD15</f>
        <v>11014176</v>
      </c>
      <c r="F337" s="184">
        <f t="shared" si="94"/>
        <v>4.1283999999999998E-4</v>
      </c>
      <c r="G337" s="201">
        <f t="shared" si="95"/>
        <v>4547.0924198399998</v>
      </c>
      <c r="O337" s="202">
        <v>5</v>
      </c>
      <c r="P337" s="202" t="s">
        <v>81</v>
      </c>
      <c r="Q337" s="181">
        <f>Input!AF15</f>
        <v>11678113</v>
      </c>
      <c r="R337" s="184">
        <f t="shared" si="105"/>
        <v>4.1283999999999998E-4</v>
      </c>
      <c r="S337" s="201">
        <f t="shared" si="96"/>
        <v>4821.1921709199996</v>
      </c>
      <c r="AB337" s="202">
        <v>5</v>
      </c>
      <c r="AC337" s="202" t="s">
        <v>81</v>
      </c>
      <c r="AD337" s="181">
        <f>Input!AH15</f>
        <v>11299814</v>
      </c>
      <c r="AE337" s="184">
        <f t="shared" si="97"/>
        <v>4.1283999999999998E-4</v>
      </c>
      <c r="AF337" s="201">
        <f t="shared" si="98"/>
        <v>4665.0152117600001</v>
      </c>
      <c r="AO337" s="202">
        <v>5</v>
      </c>
      <c r="AP337" s="202" t="s">
        <v>81</v>
      </c>
      <c r="AQ337" s="181">
        <f>Input!AJ15</f>
        <v>11290139</v>
      </c>
      <c r="AR337" s="184">
        <f t="shared" si="99"/>
        <v>4.1283999999999998E-4</v>
      </c>
      <c r="AS337" s="201">
        <f t="shared" si="100"/>
        <v>4661.0209847599999</v>
      </c>
      <c r="BB337" s="202">
        <v>5</v>
      </c>
      <c r="BC337" s="202" t="s">
        <v>81</v>
      </c>
      <c r="BD337" s="165">
        <f>Input!AL15</f>
        <v>11403997</v>
      </c>
      <c r="BE337" s="236">
        <f t="shared" si="101"/>
        <v>4.1283999999999998E-4</v>
      </c>
      <c r="BF337" s="167">
        <f t="shared" si="102"/>
        <v>4708.0261214800003</v>
      </c>
      <c r="BO337" s="202">
        <v>5</v>
      </c>
      <c r="BP337" s="202" t="s">
        <v>81</v>
      </c>
      <c r="BQ337" s="181">
        <f>Input!AN15</f>
        <v>11354405</v>
      </c>
      <c r="BR337" s="184">
        <f t="shared" si="103"/>
        <v>4.1283999999999998E-4</v>
      </c>
      <c r="BS337" s="201">
        <f t="shared" si="104"/>
        <v>4687.5525601999998</v>
      </c>
      <c r="CF337" s="228"/>
      <c r="CG337" s="228"/>
      <c r="CH337" s="228"/>
      <c r="CI337" s="228"/>
      <c r="CJ337" s="228"/>
      <c r="CK337" s="196"/>
      <c r="CL337" s="195"/>
      <c r="CM337" s="195"/>
      <c r="CN337" s="195"/>
      <c r="CO337" s="195"/>
      <c r="CP337" s="195"/>
      <c r="CQ337" s="195"/>
      <c r="CR337" s="195"/>
    </row>
    <row r="338" spans="3:96" x14ac:dyDescent="0.25">
      <c r="C338" s="202">
        <v>6</v>
      </c>
      <c r="D338" s="202" t="s">
        <v>82</v>
      </c>
      <c r="E338" s="181">
        <f>Input!AD16</f>
        <v>10635591</v>
      </c>
      <c r="F338" s="184">
        <f t="shared" si="94"/>
        <v>2.6628999999999997E-4</v>
      </c>
      <c r="G338" s="201">
        <f t="shared" si="95"/>
        <v>2832.1515273899995</v>
      </c>
      <c r="O338" s="202">
        <v>6</v>
      </c>
      <c r="P338" s="202" t="s">
        <v>82</v>
      </c>
      <c r="Q338" s="181">
        <f>Input!AF16</f>
        <v>11447183</v>
      </c>
      <c r="R338" s="184">
        <f t="shared" si="105"/>
        <v>2.6628999999999997E-4</v>
      </c>
      <c r="S338" s="201">
        <f t="shared" si="96"/>
        <v>3048.2703610699996</v>
      </c>
      <c r="AB338" s="202">
        <v>6</v>
      </c>
      <c r="AC338" s="202" t="s">
        <v>82</v>
      </c>
      <c r="AD338" s="181">
        <f>Input!AH16</f>
        <v>12161392</v>
      </c>
      <c r="AE338" s="184">
        <f t="shared" si="97"/>
        <v>2.6628999999999997E-4</v>
      </c>
      <c r="AF338" s="201">
        <f t="shared" si="98"/>
        <v>3238.4570756799999</v>
      </c>
      <c r="AO338" s="202">
        <v>6</v>
      </c>
      <c r="AP338" s="202" t="s">
        <v>82</v>
      </c>
      <c r="AQ338" s="181">
        <f>Input!AJ16</f>
        <v>11818121</v>
      </c>
      <c r="AR338" s="184">
        <f t="shared" si="99"/>
        <v>2.6628999999999997E-4</v>
      </c>
      <c r="AS338" s="201">
        <f t="shared" si="100"/>
        <v>3147.0474410899997</v>
      </c>
      <c r="BB338" s="202">
        <v>6</v>
      </c>
      <c r="BC338" s="202" t="s">
        <v>82</v>
      </c>
      <c r="BD338" s="165">
        <f>Input!AL16</f>
        <v>11840614</v>
      </c>
      <c r="BE338" s="236">
        <f t="shared" si="101"/>
        <v>2.6628999999999997E-4</v>
      </c>
      <c r="BF338" s="167">
        <f t="shared" si="102"/>
        <v>3153.0371020599996</v>
      </c>
      <c r="BO338" s="202">
        <v>6</v>
      </c>
      <c r="BP338" s="202" t="s">
        <v>82</v>
      </c>
      <c r="BQ338" s="181">
        <f>Input!AN16</f>
        <v>11981799</v>
      </c>
      <c r="BR338" s="184">
        <f t="shared" si="103"/>
        <v>2.6628999999999997E-4</v>
      </c>
      <c r="BS338" s="201">
        <f t="shared" si="104"/>
        <v>3190.6332557099995</v>
      </c>
      <c r="CF338" s="228"/>
      <c r="CG338" s="228"/>
      <c r="CH338" s="228"/>
      <c r="CI338" s="228"/>
      <c r="CJ338" s="228"/>
      <c r="CK338" s="196"/>
      <c r="CL338" s="195"/>
      <c r="CM338" s="195"/>
      <c r="CN338" s="195"/>
      <c r="CO338" s="195"/>
      <c r="CP338" s="195"/>
      <c r="CQ338" s="195"/>
      <c r="CR338" s="195"/>
    </row>
    <row r="339" spans="3:96" x14ac:dyDescent="0.25">
      <c r="C339" s="202">
        <v>7</v>
      </c>
      <c r="D339" s="202" t="s">
        <v>83</v>
      </c>
      <c r="E339" s="181">
        <f>Input!AD17</f>
        <v>9996500</v>
      </c>
      <c r="F339" s="184">
        <f t="shared" si="94"/>
        <v>-6.3960000000000004E-5</v>
      </c>
      <c r="G339" s="201">
        <f t="shared" si="95"/>
        <v>-639.37614000000008</v>
      </c>
      <c r="O339" s="202">
        <v>7</v>
      </c>
      <c r="P339" s="202" t="s">
        <v>83</v>
      </c>
      <c r="Q339" s="181">
        <f>Input!AF17</f>
        <v>10906371</v>
      </c>
      <c r="R339" s="184">
        <f t="shared" si="105"/>
        <v>-6.3960000000000004E-5</v>
      </c>
      <c r="S339" s="201">
        <f t="shared" si="96"/>
        <v>-697.57148916000006</v>
      </c>
      <c r="AB339" s="202">
        <v>7</v>
      </c>
      <c r="AC339" s="202" t="s">
        <v>83</v>
      </c>
      <c r="AD339" s="181">
        <f>Input!AH17</f>
        <v>11780885</v>
      </c>
      <c r="AE339" s="184">
        <f t="shared" si="97"/>
        <v>-6.3960000000000004E-5</v>
      </c>
      <c r="AF339" s="201">
        <f t="shared" si="98"/>
        <v>-753.50540460000002</v>
      </c>
      <c r="AO339" s="202">
        <v>7</v>
      </c>
      <c r="AP339" s="202" t="s">
        <v>83</v>
      </c>
      <c r="AQ339" s="181">
        <f>Input!AJ17</f>
        <v>12510010</v>
      </c>
      <c r="AR339" s="184">
        <f t="shared" si="99"/>
        <v>-6.3960000000000004E-5</v>
      </c>
      <c r="AS339" s="201">
        <f t="shared" si="100"/>
        <v>-800.14023960000009</v>
      </c>
      <c r="BB339" s="202">
        <v>7</v>
      </c>
      <c r="BC339" s="202" t="s">
        <v>83</v>
      </c>
      <c r="BD339" s="165">
        <f>Input!AL17</f>
        <v>12194207</v>
      </c>
      <c r="BE339" s="236">
        <f t="shared" si="101"/>
        <v>-6.3960000000000004E-5</v>
      </c>
      <c r="BF339" s="167">
        <f t="shared" si="102"/>
        <v>-779.94147972000007</v>
      </c>
      <c r="BO339" s="202">
        <v>7</v>
      </c>
      <c r="BP339" s="202" t="s">
        <v>83</v>
      </c>
      <c r="BQ339" s="181">
        <f>Input!AN17</f>
        <v>12240616</v>
      </c>
      <c r="BR339" s="184">
        <f t="shared" si="103"/>
        <v>-6.3960000000000004E-5</v>
      </c>
      <c r="BS339" s="201">
        <f t="shared" si="104"/>
        <v>-782.90979936000008</v>
      </c>
      <c r="CF339" s="228"/>
      <c r="CG339" s="228"/>
      <c r="CH339" s="228"/>
      <c r="CI339" s="228"/>
      <c r="CJ339" s="228"/>
      <c r="CK339" s="196"/>
      <c r="CL339" s="195"/>
      <c r="CM339" s="195"/>
      <c r="CN339" s="195"/>
      <c r="CO339" s="195"/>
      <c r="CP339" s="195"/>
      <c r="CQ339" s="195"/>
      <c r="CR339" s="195"/>
    </row>
    <row r="340" spans="3:96" x14ac:dyDescent="0.25">
      <c r="C340" s="202">
        <v>8</v>
      </c>
      <c r="D340" s="202" t="s">
        <v>84</v>
      </c>
      <c r="E340" s="181">
        <f>Input!AD18</f>
        <v>10042022</v>
      </c>
      <c r="F340" s="184">
        <f t="shared" si="94"/>
        <v>-1.9243E-4</v>
      </c>
      <c r="G340" s="201">
        <f t="shared" si="95"/>
        <v>-1932.3862934599999</v>
      </c>
      <c r="O340" s="202">
        <v>8</v>
      </c>
      <c r="P340" s="202" t="s">
        <v>84</v>
      </c>
      <c r="Q340" s="181">
        <f>Input!AF18</f>
        <v>10180801</v>
      </c>
      <c r="R340" s="184">
        <f t="shared" si="105"/>
        <v>-1.9243E-4</v>
      </c>
      <c r="S340" s="201">
        <f t="shared" si="96"/>
        <v>-1959.0915364299999</v>
      </c>
      <c r="AB340" s="202">
        <v>8</v>
      </c>
      <c r="AC340" s="202" t="s">
        <v>84</v>
      </c>
      <c r="AD340" s="181">
        <f>Input!AH18</f>
        <v>11098635</v>
      </c>
      <c r="AE340" s="184">
        <f t="shared" si="97"/>
        <v>-1.9243E-4</v>
      </c>
      <c r="AF340" s="201">
        <f t="shared" si="98"/>
        <v>-2135.7103330499999</v>
      </c>
      <c r="AO340" s="202">
        <v>8</v>
      </c>
      <c r="AP340" s="202" t="s">
        <v>84</v>
      </c>
      <c r="AQ340" s="181">
        <f>Input!AJ18</f>
        <v>11979204</v>
      </c>
      <c r="AR340" s="184">
        <f t="shared" si="99"/>
        <v>-1.9243E-4</v>
      </c>
      <c r="AS340" s="201">
        <f t="shared" si="100"/>
        <v>-2305.1582257199998</v>
      </c>
      <c r="BB340" s="202">
        <v>8</v>
      </c>
      <c r="BC340" s="202" t="s">
        <v>84</v>
      </c>
      <c r="BD340" s="165">
        <f>Input!AL18</f>
        <v>12725247</v>
      </c>
      <c r="BE340" s="236">
        <f t="shared" si="101"/>
        <v>-1.9243E-4</v>
      </c>
      <c r="BF340" s="167">
        <f t="shared" si="102"/>
        <v>-2448.7192802099999</v>
      </c>
      <c r="BO340" s="202">
        <v>8</v>
      </c>
      <c r="BP340" s="202" t="s">
        <v>84</v>
      </c>
      <c r="BQ340" s="181">
        <f>Input!AN18</f>
        <v>12430446</v>
      </c>
      <c r="BR340" s="184">
        <f t="shared" si="103"/>
        <v>-1.9243E-4</v>
      </c>
      <c r="BS340" s="201">
        <f t="shared" si="104"/>
        <v>-2391.9907237799998</v>
      </c>
      <c r="CF340" s="228"/>
      <c r="CG340" s="228"/>
      <c r="CH340" s="228"/>
      <c r="CI340" s="228"/>
      <c r="CJ340" s="228"/>
      <c r="CK340" s="196"/>
      <c r="CL340" s="195"/>
      <c r="CM340" s="195"/>
      <c r="CN340" s="195"/>
      <c r="CO340" s="195"/>
      <c r="CP340" s="195"/>
      <c r="CQ340" s="195"/>
      <c r="CR340" s="195"/>
    </row>
    <row r="341" spans="3:96" x14ac:dyDescent="0.25">
      <c r="C341" s="202">
        <v>9</v>
      </c>
      <c r="D341" s="202" t="s">
        <v>85</v>
      </c>
      <c r="E341" s="181">
        <f>Input!AD19</f>
        <v>10393977</v>
      </c>
      <c r="F341" s="184">
        <f t="shared" si="94"/>
        <v>-2.1800000000000001E-4</v>
      </c>
      <c r="G341" s="201">
        <f t="shared" si="95"/>
        <v>-2265.886986</v>
      </c>
      <c r="O341" s="202">
        <v>9</v>
      </c>
      <c r="P341" s="202" t="s">
        <v>85</v>
      </c>
      <c r="Q341" s="181">
        <f>Input!AF19</f>
        <v>10024621</v>
      </c>
      <c r="R341" s="184">
        <f t="shared" si="105"/>
        <v>-2.1800000000000001E-4</v>
      </c>
      <c r="S341" s="201">
        <f t="shared" si="96"/>
        <v>-2185.3673779999999</v>
      </c>
      <c r="AB341" s="202">
        <v>9</v>
      </c>
      <c r="AC341" s="202" t="s">
        <v>85</v>
      </c>
      <c r="AD341" s="181">
        <f>Input!AH19</f>
        <v>10272290</v>
      </c>
      <c r="AE341" s="184">
        <f t="shared" si="97"/>
        <v>-2.1800000000000001E-4</v>
      </c>
      <c r="AF341" s="201">
        <f t="shared" si="98"/>
        <v>-2239.3592200000003</v>
      </c>
      <c r="AO341" s="202">
        <v>9</v>
      </c>
      <c r="AP341" s="202" t="s">
        <v>85</v>
      </c>
      <c r="AQ341" s="181">
        <f>Input!AJ19</f>
        <v>11192667</v>
      </c>
      <c r="AR341" s="184">
        <f t="shared" si="99"/>
        <v>-2.1800000000000001E-4</v>
      </c>
      <c r="AS341" s="201">
        <f t="shared" si="100"/>
        <v>-2440.0014060000003</v>
      </c>
      <c r="BB341" s="202">
        <v>9</v>
      </c>
      <c r="BC341" s="202" t="s">
        <v>85</v>
      </c>
      <c r="BD341" s="165">
        <f>Input!AL19</f>
        <v>12085632</v>
      </c>
      <c r="BE341" s="236">
        <f t="shared" si="101"/>
        <v>-2.1800000000000001E-4</v>
      </c>
      <c r="BF341" s="167">
        <f t="shared" si="102"/>
        <v>-2634.6677760000002</v>
      </c>
      <c r="BO341" s="202">
        <v>9</v>
      </c>
      <c r="BP341" s="202" t="s">
        <v>85</v>
      </c>
      <c r="BQ341" s="181">
        <f>Input!AN19</f>
        <v>12845427</v>
      </c>
      <c r="BR341" s="184">
        <f t="shared" si="103"/>
        <v>-2.1800000000000001E-4</v>
      </c>
      <c r="BS341" s="201">
        <f t="shared" si="104"/>
        <v>-2800.3030860000003</v>
      </c>
      <c r="CF341" s="228"/>
      <c r="CG341" s="228"/>
      <c r="CH341" s="228"/>
      <c r="CI341" s="228"/>
      <c r="CJ341" s="228"/>
      <c r="CK341" s="196"/>
      <c r="CL341" s="195"/>
      <c r="CM341" s="195"/>
      <c r="CN341" s="195"/>
      <c r="CO341" s="195"/>
      <c r="CP341" s="195"/>
      <c r="CQ341" s="195"/>
      <c r="CR341" s="195"/>
    </row>
    <row r="342" spans="3:96" x14ac:dyDescent="0.25">
      <c r="C342" s="202">
        <v>10</v>
      </c>
      <c r="D342" s="202" t="s">
        <v>86</v>
      </c>
      <c r="E342" s="181">
        <f>Input!AD20</f>
        <v>11209085</v>
      </c>
      <c r="F342" s="184">
        <f t="shared" si="94"/>
        <v>-1.4478000000000001E-4</v>
      </c>
      <c r="G342" s="201">
        <f t="shared" si="95"/>
        <v>-1622.8513263</v>
      </c>
      <c r="O342" s="202">
        <v>10</v>
      </c>
      <c r="P342" s="202" t="s">
        <v>86</v>
      </c>
      <c r="Q342" s="181">
        <f>Input!AF20</f>
        <v>10323645</v>
      </c>
      <c r="R342" s="184">
        <f t="shared" si="105"/>
        <v>-1.4478000000000001E-4</v>
      </c>
      <c r="S342" s="201">
        <f t="shared" si="96"/>
        <v>-1494.6573231</v>
      </c>
      <c r="AB342" s="202">
        <v>10</v>
      </c>
      <c r="AC342" s="202" t="s">
        <v>86</v>
      </c>
      <c r="AD342" s="181">
        <f>Input!AH20</f>
        <v>10009524</v>
      </c>
      <c r="AE342" s="184">
        <f t="shared" si="97"/>
        <v>-1.4478000000000001E-4</v>
      </c>
      <c r="AF342" s="201">
        <f t="shared" si="98"/>
        <v>-1449.17888472</v>
      </c>
      <c r="AO342" s="202">
        <v>10</v>
      </c>
      <c r="AP342" s="202" t="s">
        <v>86</v>
      </c>
      <c r="AQ342" s="181">
        <f>Input!AJ20</f>
        <v>10265707</v>
      </c>
      <c r="AR342" s="184">
        <f t="shared" si="99"/>
        <v>-1.4478000000000001E-4</v>
      </c>
      <c r="AS342" s="201">
        <f t="shared" si="100"/>
        <v>-1486.2690594600001</v>
      </c>
      <c r="BB342" s="202">
        <v>10</v>
      </c>
      <c r="BC342" s="202" t="s">
        <v>86</v>
      </c>
      <c r="BD342" s="165">
        <f>Input!AL20</f>
        <v>11194437</v>
      </c>
      <c r="BE342" s="236">
        <f t="shared" si="101"/>
        <v>-1.4478000000000001E-4</v>
      </c>
      <c r="BF342" s="167">
        <f t="shared" si="102"/>
        <v>-1620.7305888600001</v>
      </c>
      <c r="BO342" s="202">
        <v>10</v>
      </c>
      <c r="BP342" s="202" t="s">
        <v>86</v>
      </c>
      <c r="BQ342" s="181">
        <f>Input!AN20</f>
        <v>12097382</v>
      </c>
      <c r="BR342" s="184">
        <f t="shared" si="103"/>
        <v>-1.4478000000000001E-4</v>
      </c>
      <c r="BS342" s="201">
        <f t="shared" si="104"/>
        <v>-1751.4589659600001</v>
      </c>
      <c r="CF342" s="228"/>
      <c r="CG342" s="228"/>
      <c r="CH342" s="228"/>
      <c r="CI342" s="228"/>
      <c r="CJ342" s="228"/>
      <c r="CK342" s="196"/>
      <c r="CL342" s="195"/>
      <c r="CM342" s="195"/>
      <c r="CN342" s="195"/>
      <c r="CO342" s="195"/>
      <c r="CP342" s="195"/>
      <c r="CQ342" s="195"/>
      <c r="CR342" s="195"/>
    </row>
    <row r="343" spans="3:96" x14ac:dyDescent="0.25">
      <c r="C343" s="202">
        <v>11</v>
      </c>
      <c r="D343" s="202" t="s">
        <v>87</v>
      </c>
      <c r="E343" s="181">
        <f>Input!AD21</f>
        <v>10933274</v>
      </c>
      <c r="F343" s="184">
        <f t="shared" si="94"/>
        <v>-1.0594000000000001E-4</v>
      </c>
      <c r="G343" s="201">
        <f t="shared" si="95"/>
        <v>-1158.2710475600002</v>
      </c>
      <c r="O343" s="202">
        <v>11</v>
      </c>
      <c r="P343" s="202" t="s">
        <v>87</v>
      </c>
      <c r="Q343" s="181">
        <f>Input!AF21</f>
        <v>10955465</v>
      </c>
      <c r="R343" s="184">
        <f t="shared" si="105"/>
        <v>-1.0594000000000001E-4</v>
      </c>
      <c r="S343" s="201">
        <f t="shared" si="96"/>
        <v>-1160.6219621</v>
      </c>
      <c r="AB343" s="202">
        <v>11</v>
      </c>
      <c r="AC343" s="202" t="s">
        <v>87</v>
      </c>
      <c r="AD343" s="181">
        <f>Input!AH21</f>
        <v>10181972</v>
      </c>
      <c r="AE343" s="184">
        <f t="shared" si="97"/>
        <v>-1.0594000000000001E-4</v>
      </c>
      <c r="AF343" s="201">
        <f t="shared" si="98"/>
        <v>-1078.67811368</v>
      </c>
      <c r="AO343" s="202">
        <v>11</v>
      </c>
      <c r="AP343" s="202" t="s">
        <v>87</v>
      </c>
      <c r="AQ343" s="181">
        <f>Input!AJ21</f>
        <v>9889223</v>
      </c>
      <c r="AR343" s="184">
        <f t="shared" si="99"/>
        <v>-1.0594000000000001E-4</v>
      </c>
      <c r="AS343" s="201">
        <f t="shared" si="100"/>
        <v>-1047.66428462</v>
      </c>
      <c r="BB343" s="202">
        <v>11</v>
      </c>
      <c r="BC343" s="202" t="s">
        <v>87</v>
      </c>
      <c r="BD343" s="165">
        <f>Input!AL21</f>
        <v>10164609</v>
      </c>
      <c r="BE343" s="236">
        <f t="shared" si="101"/>
        <v>-1.0594000000000001E-4</v>
      </c>
      <c r="BF343" s="167">
        <f t="shared" si="102"/>
        <v>-1076.8386774600001</v>
      </c>
      <c r="BO343" s="202">
        <v>11</v>
      </c>
      <c r="BP343" s="202" t="s">
        <v>87</v>
      </c>
      <c r="BQ343" s="181">
        <f>Input!AN21</f>
        <v>11100127</v>
      </c>
      <c r="BR343" s="184">
        <f t="shared" si="103"/>
        <v>-1.0594000000000001E-4</v>
      </c>
      <c r="BS343" s="201">
        <f t="shared" si="104"/>
        <v>-1175.94745438</v>
      </c>
      <c r="CF343" s="228"/>
      <c r="CG343" s="228"/>
      <c r="CH343" s="228"/>
      <c r="CI343" s="228"/>
      <c r="CJ343" s="228"/>
      <c r="CK343" s="196"/>
      <c r="CL343" s="195"/>
      <c r="CM343" s="195"/>
      <c r="CN343" s="195"/>
      <c r="CO343" s="195"/>
      <c r="CP343" s="195"/>
      <c r="CQ343" s="195"/>
      <c r="CR343" s="195"/>
    </row>
    <row r="344" spans="3:96" x14ac:dyDescent="0.25">
      <c r="C344" s="202">
        <v>12</v>
      </c>
      <c r="D344" s="202" t="s">
        <v>88</v>
      </c>
      <c r="E344" s="181">
        <f>Input!AD22</f>
        <v>9523648</v>
      </c>
      <c r="F344" s="184">
        <f t="shared" si="94"/>
        <v>-1.0066E-4</v>
      </c>
      <c r="G344" s="201">
        <f t="shared" si="95"/>
        <v>-958.65040768000006</v>
      </c>
      <c r="O344" s="202">
        <v>12</v>
      </c>
      <c r="P344" s="202" t="s">
        <v>88</v>
      </c>
      <c r="Q344" s="181">
        <f>Input!AF22</f>
        <v>10600649</v>
      </c>
      <c r="R344" s="184">
        <f t="shared" si="105"/>
        <v>-1.0066E-4</v>
      </c>
      <c r="S344" s="201">
        <f t="shared" si="96"/>
        <v>-1067.06132834</v>
      </c>
      <c r="AB344" s="202">
        <v>12</v>
      </c>
      <c r="AC344" s="202" t="s">
        <v>88</v>
      </c>
      <c r="AD344" s="181">
        <f>Input!AH22</f>
        <v>10650622</v>
      </c>
      <c r="AE344" s="184">
        <f t="shared" si="97"/>
        <v>-1.0066E-4</v>
      </c>
      <c r="AF344" s="201">
        <f t="shared" si="98"/>
        <v>-1072.0916105200001</v>
      </c>
      <c r="AO344" s="202">
        <v>12</v>
      </c>
      <c r="AP344" s="202" t="s">
        <v>88</v>
      </c>
      <c r="AQ344" s="181">
        <f>Input!AJ22</f>
        <v>9929098</v>
      </c>
      <c r="AR344" s="184">
        <f t="shared" si="99"/>
        <v>-1.0066E-4</v>
      </c>
      <c r="AS344" s="201">
        <f t="shared" si="100"/>
        <v>-999.46300468000004</v>
      </c>
      <c r="BB344" s="202">
        <v>12</v>
      </c>
      <c r="BC344" s="202" t="s">
        <v>88</v>
      </c>
      <c r="BD344" s="165">
        <f>Input!AL22</f>
        <v>9671705</v>
      </c>
      <c r="BE344" s="236">
        <f t="shared" si="101"/>
        <v>-1.0066E-4</v>
      </c>
      <c r="BF344" s="167">
        <f t="shared" si="102"/>
        <v>-973.55382529999997</v>
      </c>
      <c r="BO344" s="202">
        <v>12</v>
      </c>
      <c r="BP344" s="202" t="s">
        <v>88</v>
      </c>
      <c r="BQ344" s="181">
        <f>Input!AN22</f>
        <v>9969346</v>
      </c>
      <c r="BR344" s="184">
        <f t="shared" si="103"/>
        <v>-1.0066E-4</v>
      </c>
      <c r="BS344" s="201">
        <f t="shared" si="104"/>
        <v>-1003.51436836</v>
      </c>
      <c r="CF344" s="228"/>
      <c r="CG344" s="228"/>
      <c r="CH344" s="228"/>
      <c r="CI344" s="228"/>
      <c r="CJ344" s="228"/>
      <c r="CK344" s="196"/>
      <c r="CL344" s="195"/>
      <c r="CM344" s="195"/>
      <c r="CN344" s="195"/>
      <c r="CO344" s="195"/>
      <c r="CP344" s="195"/>
      <c r="CQ344" s="195"/>
      <c r="CR344" s="195"/>
    </row>
    <row r="345" spans="3:96" x14ac:dyDescent="0.25">
      <c r="C345" s="202">
        <v>13</v>
      </c>
      <c r="D345" s="202" t="s">
        <v>89</v>
      </c>
      <c r="E345" s="181">
        <f>Input!AD23</f>
        <v>8077500</v>
      </c>
      <c r="F345" s="184">
        <f t="shared" si="94"/>
        <v>-1.0339E-4</v>
      </c>
      <c r="G345" s="201">
        <f t="shared" si="95"/>
        <v>-835.13272499999994</v>
      </c>
      <c r="O345" s="202">
        <v>13</v>
      </c>
      <c r="P345" s="202" t="s">
        <v>89</v>
      </c>
      <c r="Q345" s="181">
        <f>Input!AF23</f>
        <v>9131015</v>
      </c>
      <c r="R345" s="184">
        <f t="shared" si="105"/>
        <v>-1.0339E-4</v>
      </c>
      <c r="S345" s="201">
        <f t="shared" si="96"/>
        <v>-944.05564085000003</v>
      </c>
      <c r="AB345" s="202">
        <v>13</v>
      </c>
      <c r="AC345" s="202" t="s">
        <v>89</v>
      </c>
      <c r="AD345" s="181">
        <f>Input!AH23</f>
        <v>10147422</v>
      </c>
      <c r="AE345" s="184">
        <f t="shared" si="97"/>
        <v>-1.0339E-4</v>
      </c>
      <c r="AF345" s="201">
        <f t="shared" si="98"/>
        <v>-1049.1419605799999</v>
      </c>
      <c r="AO345" s="202">
        <v>13</v>
      </c>
      <c r="AP345" s="202" t="s">
        <v>89</v>
      </c>
      <c r="AQ345" s="181">
        <f>Input!AJ23</f>
        <v>10229297</v>
      </c>
      <c r="AR345" s="184">
        <f t="shared" si="99"/>
        <v>-1.0339E-4</v>
      </c>
      <c r="AS345" s="201">
        <f t="shared" si="100"/>
        <v>-1057.60701683</v>
      </c>
      <c r="BB345" s="202">
        <v>13</v>
      </c>
      <c r="BC345" s="202" t="s">
        <v>89</v>
      </c>
      <c r="BD345" s="165">
        <f>Input!AL23</f>
        <v>9577660</v>
      </c>
      <c r="BE345" s="236">
        <f t="shared" si="101"/>
        <v>-1.0339E-4</v>
      </c>
      <c r="BF345" s="167">
        <f t="shared" si="102"/>
        <v>-990.23426740000002</v>
      </c>
      <c r="BO345" s="202">
        <v>13</v>
      </c>
      <c r="BP345" s="202" t="s">
        <v>89</v>
      </c>
      <c r="BQ345" s="181">
        <f>Input!AN23</f>
        <v>9362045</v>
      </c>
      <c r="BR345" s="184">
        <f t="shared" si="103"/>
        <v>-1.0339E-4</v>
      </c>
      <c r="BS345" s="201">
        <f t="shared" si="104"/>
        <v>-967.94183254999996</v>
      </c>
      <c r="CF345" s="228"/>
      <c r="CG345" s="228"/>
      <c r="CH345" s="228"/>
      <c r="CI345" s="228"/>
      <c r="CJ345" s="228"/>
      <c r="CK345" s="196"/>
      <c r="CL345" s="195"/>
      <c r="CM345" s="195"/>
      <c r="CN345" s="195"/>
      <c r="CO345" s="195"/>
      <c r="CP345" s="195"/>
      <c r="CQ345" s="195"/>
      <c r="CR345" s="195"/>
    </row>
    <row r="346" spans="3:96" x14ac:dyDescent="0.25">
      <c r="C346" s="202">
        <v>14</v>
      </c>
      <c r="D346" s="202" t="s">
        <v>90</v>
      </c>
      <c r="E346" s="181">
        <f>Input!AD24</f>
        <v>5852547</v>
      </c>
      <c r="F346" s="184">
        <f t="shared" si="94"/>
        <v>-1.1464E-4</v>
      </c>
      <c r="G346" s="201">
        <f t="shared" si="95"/>
        <v>-670.93598808000002</v>
      </c>
      <c r="O346" s="202">
        <v>14</v>
      </c>
      <c r="P346" s="202" t="s">
        <v>90</v>
      </c>
      <c r="Q346" s="181">
        <f>Input!AF24</f>
        <v>7611986</v>
      </c>
      <c r="R346" s="184">
        <f t="shared" si="105"/>
        <v>-1.1464E-4</v>
      </c>
      <c r="S346" s="201">
        <f t="shared" si="96"/>
        <v>-872.63807503999999</v>
      </c>
      <c r="AB346" s="202">
        <v>14</v>
      </c>
      <c r="AC346" s="202" t="s">
        <v>90</v>
      </c>
      <c r="AD346" s="181">
        <f>Input!AH24</f>
        <v>8567385</v>
      </c>
      <c r="AE346" s="184">
        <f t="shared" si="97"/>
        <v>-1.1464E-4</v>
      </c>
      <c r="AF346" s="201">
        <f t="shared" si="98"/>
        <v>-982.16501640000001</v>
      </c>
      <c r="AO346" s="202">
        <v>14</v>
      </c>
      <c r="AP346" s="202" t="s">
        <v>90</v>
      </c>
      <c r="AQ346" s="181">
        <f>Input!AJ24</f>
        <v>9555713</v>
      </c>
      <c r="AR346" s="184">
        <f t="shared" si="99"/>
        <v>-1.1464E-4</v>
      </c>
      <c r="AS346" s="201">
        <f t="shared" si="100"/>
        <v>-1095.4669383200001</v>
      </c>
      <c r="BB346" s="202">
        <v>14</v>
      </c>
      <c r="BC346" s="202" t="s">
        <v>90</v>
      </c>
      <c r="BD346" s="165">
        <f>Input!AL24</f>
        <v>9676004</v>
      </c>
      <c r="BE346" s="236">
        <f t="shared" si="101"/>
        <v>-1.1464E-4</v>
      </c>
      <c r="BF346" s="167">
        <f t="shared" si="102"/>
        <v>-1109.25709856</v>
      </c>
      <c r="BO346" s="202">
        <v>14</v>
      </c>
      <c r="BP346" s="202" t="s">
        <v>90</v>
      </c>
      <c r="BQ346" s="181">
        <f>Input!AN24</f>
        <v>9104700</v>
      </c>
      <c r="BR346" s="184">
        <f t="shared" si="103"/>
        <v>-1.1464E-4</v>
      </c>
      <c r="BS346" s="201">
        <f t="shared" si="104"/>
        <v>-1043.7628079999999</v>
      </c>
      <c r="CF346" s="228"/>
      <c r="CG346" s="228"/>
      <c r="CH346" s="228"/>
      <c r="CI346" s="228"/>
      <c r="CJ346" s="228"/>
      <c r="CK346" s="196"/>
      <c r="CL346" s="195"/>
      <c r="CM346" s="195"/>
      <c r="CN346" s="195"/>
      <c r="CO346" s="195"/>
      <c r="CP346" s="195"/>
      <c r="CQ346" s="195"/>
      <c r="CR346" s="195"/>
    </row>
    <row r="347" spans="3:96" x14ac:dyDescent="0.25">
      <c r="C347" s="202">
        <v>15</v>
      </c>
      <c r="D347" s="202" t="s">
        <v>91</v>
      </c>
      <c r="E347" s="181">
        <f>Input!AD25</f>
        <v>4243972</v>
      </c>
      <c r="F347" s="184">
        <f t="shared" si="94"/>
        <v>-9.8319999999999994E-5</v>
      </c>
      <c r="G347" s="201">
        <f t="shared" si="95"/>
        <v>-417.26732704</v>
      </c>
      <c r="O347" s="202">
        <v>15</v>
      </c>
      <c r="P347" s="202" t="s">
        <v>91</v>
      </c>
      <c r="Q347" s="181">
        <f>Input!AF25</f>
        <v>5306253</v>
      </c>
      <c r="R347" s="184">
        <f t="shared" si="105"/>
        <v>-9.8319999999999994E-5</v>
      </c>
      <c r="S347" s="201">
        <f t="shared" si="96"/>
        <v>-521.71079495999993</v>
      </c>
      <c r="AB347" s="202">
        <v>15</v>
      </c>
      <c r="AC347" s="202" t="s">
        <v>91</v>
      </c>
      <c r="AD347" s="181">
        <f>Input!AH25</f>
        <v>6899766</v>
      </c>
      <c r="AE347" s="184">
        <f t="shared" si="97"/>
        <v>-9.8319999999999994E-5</v>
      </c>
      <c r="AF347" s="201">
        <f t="shared" si="98"/>
        <v>-678.38499311999999</v>
      </c>
      <c r="AO347" s="202">
        <v>15</v>
      </c>
      <c r="AP347" s="202" t="s">
        <v>91</v>
      </c>
      <c r="AQ347" s="181">
        <f>Input!AJ25</f>
        <v>7803611</v>
      </c>
      <c r="AR347" s="184">
        <f t="shared" si="99"/>
        <v>-9.8319999999999994E-5</v>
      </c>
      <c r="AS347" s="201">
        <f t="shared" si="100"/>
        <v>-767.25103351999996</v>
      </c>
      <c r="BB347" s="202">
        <v>15</v>
      </c>
      <c r="BC347" s="202" t="s">
        <v>91</v>
      </c>
      <c r="BD347" s="165">
        <f>Input!AL25</f>
        <v>8746601</v>
      </c>
      <c r="BE347" s="236">
        <f t="shared" si="101"/>
        <v>-9.8319999999999994E-5</v>
      </c>
      <c r="BF347" s="167">
        <f t="shared" si="102"/>
        <v>-859.96581031999995</v>
      </c>
      <c r="BO347" s="202">
        <v>15</v>
      </c>
      <c r="BP347" s="202" t="s">
        <v>91</v>
      </c>
      <c r="BQ347" s="181">
        <f>Input!AN25</f>
        <v>8901250</v>
      </c>
      <c r="BR347" s="184">
        <f t="shared" si="103"/>
        <v>-9.8319999999999994E-5</v>
      </c>
      <c r="BS347" s="201">
        <f t="shared" si="104"/>
        <v>-875.17089999999996</v>
      </c>
      <c r="CF347" s="228"/>
      <c r="CG347" s="228"/>
      <c r="CH347" s="228"/>
      <c r="CI347" s="228"/>
      <c r="CJ347" s="228"/>
      <c r="CK347" s="196"/>
      <c r="CL347" s="195"/>
      <c r="CM347" s="195"/>
      <c r="CN347" s="195"/>
      <c r="CO347" s="195"/>
      <c r="CP347" s="195"/>
      <c r="CQ347" s="195"/>
      <c r="CR347" s="195"/>
    </row>
    <row r="348" spans="3:96" x14ac:dyDescent="0.25">
      <c r="C348" s="202">
        <v>16</v>
      </c>
      <c r="D348" s="202" t="s">
        <v>92</v>
      </c>
      <c r="E348" s="181">
        <f>Input!AD26</f>
        <v>3182388</v>
      </c>
      <c r="F348" s="184">
        <f t="shared" si="94"/>
        <v>-4.2759999999999997E-5</v>
      </c>
      <c r="G348" s="201">
        <f t="shared" si="95"/>
        <v>-136.07891088</v>
      </c>
      <c r="O348" s="202">
        <v>16</v>
      </c>
      <c r="P348" s="202" t="s">
        <v>92</v>
      </c>
      <c r="Q348" s="181">
        <f>Input!AF26</f>
        <v>3614525</v>
      </c>
      <c r="R348" s="184">
        <f t="shared" si="105"/>
        <v>-4.2759999999999997E-5</v>
      </c>
      <c r="S348" s="201">
        <f t="shared" si="96"/>
        <v>-154.55708899999999</v>
      </c>
      <c r="AB348" s="202">
        <v>16</v>
      </c>
      <c r="AC348" s="202" t="s">
        <v>92</v>
      </c>
      <c r="AD348" s="181">
        <f>Input!AH26</f>
        <v>4538080</v>
      </c>
      <c r="AE348" s="184">
        <f t="shared" si="97"/>
        <v>-4.2759999999999997E-5</v>
      </c>
      <c r="AF348" s="201">
        <f t="shared" si="98"/>
        <v>-194.04830079999999</v>
      </c>
      <c r="AO348" s="202">
        <v>16</v>
      </c>
      <c r="AP348" s="202" t="s">
        <v>92</v>
      </c>
      <c r="AQ348" s="181">
        <f>Input!AJ26</f>
        <v>5937844</v>
      </c>
      <c r="AR348" s="184">
        <f t="shared" si="99"/>
        <v>-4.2759999999999997E-5</v>
      </c>
      <c r="AS348" s="201">
        <f t="shared" si="100"/>
        <v>-253.90220943999998</v>
      </c>
      <c r="BB348" s="202">
        <v>16</v>
      </c>
      <c r="BC348" s="202" t="s">
        <v>92</v>
      </c>
      <c r="BD348" s="165">
        <f>Input!AL26</f>
        <v>6759594</v>
      </c>
      <c r="BE348" s="236">
        <f t="shared" si="101"/>
        <v>-4.2759999999999997E-5</v>
      </c>
      <c r="BF348" s="167">
        <f t="shared" si="102"/>
        <v>-289.04023943999999</v>
      </c>
      <c r="BO348" s="202">
        <v>16</v>
      </c>
      <c r="BP348" s="202" t="s">
        <v>92</v>
      </c>
      <c r="BQ348" s="181">
        <f>Input!AN26</f>
        <v>7623085</v>
      </c>
      <c r="BR348" s="184">
        <f t="shared" si="103"/>
        <v>-4.2759999999999997E-5</v>
      </c>
      <c r="BS348" s="201">
        <f t="shared" si="104"/>
        <v>-325.96311459999998</v>
      </c>
      <c r="CF348" s="228"/>
      <c r="CG348" s="228"/>
      <c r="CH348" s="228"/>
      <c r="CI348" s="228"/>
      <c r="CJ348" s="228"/>
      <c r="CK348" s="196"/>
      <c r="CL348" s="195"/>
      <c r="CM348" s="195"/>
      <c r="CN348" s="195"/>
      <c r="CO348" s="195"/>
      <c r="CP348" s="195"/>
      <c r="CQ348" s="195"/>
      <c r="CR348" s="195"/>
    </row>
    <row r="349" spans="3:96" x14ac:dyDescent="0.25">
      <c r="C349" s="202">
        <v>17</v>
      </c>
      <c r="D349" s="202" t="s">
        <v>93</v>
      </c>
      <c r="E349" s="181">
        <f>Input!AD27</f>
        <v>2294374</v>
      </c>
      <c r="F349" s="184">
        <f t="shared" si="94"/>
        <v>-5.6480000000000001E-5</v>
      </c>
      <c r="G349" s="201">
        <f t="shared" si="95"/>
        <v>-129.58624352000001</v>
      </c>
      <c r="O349" s="202">
        <v>17</v>
      </c>
      <c r="P349" s="202" t="s">
        <v>93</v>
      </c>
      <c r="Q349" s="181">
        <f>Input!AF27</f>
        <v>2416694</v>
      </c>
      <c r="R349" s="184">
        <f t="shared" si="105"/>
        <v>-5.6480000000000001E-5</v>
      </c>
      <c r="S349" s="201">
        <f t="shared" si="96"/>
        <v>-136.49487712000001</v>
      </c>
      <c r="AB349" s="202">
        <v>17</v>
      </c>
      <c r="AC349" s="202" t="s">
        <v>93</v>
      </c>
      <c r="AD349" s="181">
        <f>Input!AH27</f>
        <v>2782805</v>
      </c>
      <c r="AE349" s="184">
        <f t="shared" si="97"/>
        <v>-5.6480000000000001E-5</v>
      </c>
      <c r="AF349" s="201">
        <f t="shared" si="98"/>
        <v>-157.17282639999999</v>
      </c>
      <c r="AO349" s="202">
        <v>17</v>
      </c>
      <c r="AP349" s="202" t="s">
        <v>93</v>
      </c>
      <c r="AQ349" s="181">
        <f>Input!AJ27</f>
        <v>3528848</v>
      </c>
      <c r="AR349" s="184">
        <f t="shared" si="99"/>
        <v>-5.6480000000000001E-5</v>
      </c>
      <c r="AS349" s="201">
        <f t="shared" si="100"/>
        <v>-199.30933504000001</v>
      </c>
      <c r="BB349" s="202">
        <v>17</v>
      </c>
      <c r="BC349" s="202" t="s">
        <v>93</v>
      </c>
      <c r="BD349" s="165">
        <f>Input!AL27</f>
        <v>4660493</v>
      </c>
      <c r="BE349" s="236">
        <f t="shared" si="101"/>
        <v>-5.6480000000000001E-5</v>
      </c>
      <c r="BF349" s="167">
        <f t="shared" si="102"/>
        <v>-263.22464464000001</v>
      </c>
      <c r="BO349" s="202">
        <v>17</v>
      </c>
      <c r="BP349" s="202" t="s">
        <v>93</v>
      </c>
      <c r="BQ349" s="181">
        <f>Input!AN27</f>
        <v>5351345</v>
      </c>
      <c r="BR349" s="184">
        <f t="shared" si="103"/>
        <v>-5.6480000000000001E-5</v>
      </c>
      <c r="BS349" s="201">
        <f t="shared" si="104"/>
        <v>-302.24396560000002</v>
      </c>
      <c r="CF349" s="228"/>
      <c r="CG349" s="228"/>
      <c r="CH349" s="228"/>
      <c r="CI349" s="228"/>
      <c r="CJ349" s="228"/>
      <c r="CK349" s="196"/>
      <c r="CL349" s="195"/>
      <c r="CM349" s="195"/>
      <c r="CN349" s="195"/>
      <c r="CO349" s="195"/>
      <c r="CP349" s="195"/>
      <c r="CQ349" s="195"/>
      <c r="CR349" s="195"/>
    </row>
    <row r="350" spans="3:96" x14ac:dyDescent="0.25">
      <c r="C350" s="202">
        <v>18</v>
      </c>
      <c r="D350" s="202" t="s">
        <v>119</v>
      </c>
      <c r="E350" s="181">
        <f>Input!AD28</f>
        <v>1789679</v>
      </c>
      <c r="F350" s="184">
        <f t="shared" si="94"/>
        <v>-1.0043E-4</v>
      </c>
      <c r="G350" s="201">
        <f t="shared" si="95"/>
        <v>-179.73746197</v>
      </c>
      <c r="O350" s="202">
        <v>18</v>
      </c>
      <c r="P350" s="202" t="s">
        <v>119</v>
      </c>
      <c r="Q350" s="181">
        <f>Input!AF28</f>
        <v>2180520</v>
      </c>
      <c r="R350" s="184">
        <f t="shared" si="105"/>
        <v>-1.0043E-4</v>
      </c>
      <c r="S350" s="201">
        <f t="shared" si="96"/>
        <v>-218.98962359999999</v>
      </c>
      <c r="AB350" s="202">
        <v>18</v>
      </c>
      <c r="AC350" s="202" t="s">
        <v>119</v>
      </c>
      <c r="AD350" s="181">
        <f>Input!AH28</f>
        <v>2431872</v>
      </c>
      <c r="AE350" s="184">
        <f t="shared" si="97"/>
        <v>-1.0043E-4</v>
      </c>
      <c r="AF350" s="201">
        <f t="shared" si="98"/>
        <v>-244.23290495999998</v>
      </c>
      <c r="AO350" s="202">
        <v>18</v>
      </c>
      <c r="AP350" s="202" t="s">
        <v>119</v>
      </c>
      <c r="AQ350" s="181">
        <f>Input!AJ28</f>
        <v>2801869</v>
      </c>
      <c r="AR350" s="184">
        <f t="shared" si="99"/>
        <v>-1.0043E-4</v>
      </c>
      <c r="AS350" s="201">
        <f t="shared" si="100"/>
        <v>-281.39170366999997</v>
      </c>
      <c r="BB350" s="202">
        <v>18</v>
      </c>
      <c r="BC350" s="202" t="s">
        <v>119</v>
      </c>
      <c r="BD350" s="165">
        <f>Input!AL28</f>
        <v>3502349</v>
      </c>
      <c r="BE350" s="236">
        <f t="shared" si="101"/>
        <v>-1.0043E-4</v>
      </c>
      <c r="BF350" s="167">
        <f t="shared" si="102"/>
        <v>-351.74091006999998</v>
      </c>
      <c r="BO350" s="202">
        <v>18</v>
      </c>
      <c r="BP350" s="202" t="s">
        <v>119</v>
      </c>
      <c r="BQ350" s="181">
        <f>Input!AN28</f>
        <v>4633400</v>
      </c>
      <c r="BR350" s="184">
        <f t="shared" si="103"/>
        <v>-1.0043E-4</v>
      </c>
      <c r="BS350" s="201">
        <f t="shared" si="104"/>
        <v>-465.33236199999999</v>
      </c>
      <c r="CF350" s="228"/>
      <c r="CG350" s="228"/>
      <c r="CH350" s="228"/>
      <c r="CI350" s="228"/>
      <c r="CJ350" s="228"/>
      <c r="CK350" s="196"/>
      <c r="CL350" s="195"/>
      <c r="CM350" s="195"/>
      <c r="CN350" s="195"/>
      <c r="CO350" s="195"/>
      <c r="CP350" s="195"/>
      <c r="CQ350" s="195"/>
      <c r="CR350" s="195"/>
    </row>
    <row r="351" spans="3:96" x14ac:dyDescent="0.25">
      <c r="C351" s="190" t="s">
        <v>143</v>
      </c>
      <c r="D351" s="191" t="s">
        <v>17</v>
      </c>
      <c r="E351" s="169">
        <f>SUM(E333:E350)</f>
        <v>151781326</v>
      </c>
      <c r="F351" s="190" t="s">
        <v>143</v>
      </c>
      <c r="G351" s="204">
        <f>SUM(G333:G350)</f>
        <v>-6142.510431900002</v>
      </c>
      <c r="O351" s="190" t="s">
        <v>143</v>
      </c>
      <c r="P351" s="191" t="s">
        <v>17</v>
      </c>
      <c r="Q351" s="169">
        <f>SUM(Q333:Q350)</f>
        <v>158345038</v>
      </c>
      <c r="R351" s="190" t="s">
        <v>143</v>
      </c>
      <c r="S351" s="204">
        <f>SUM(S333:S350)</f>
        <v>-6159.4361813000014</v>
      </c>
      <c r="AB351" s="190" t="s">
        <v>143</v>
      </c>
      <c r="AC351" s="191" t="s">
        <v>17</v>
      </c>
      <c r="AD351" s="169">
        <f>SUM(AD333:AD350)</f>
        <v>165036419</v>
      </c>
      <c r="AE351" s="190" t="s">
        <v>143</v>
      </c>
      <c r="AF351" s="204">
        <f>SUM(AF333:AF350)</f>
        <v>-6800.2083514800015</v>
      </c>
      <c r="AO351" s="190" t="s">
        <v>143</v>
      </c>
      <c r="AP351" s="191" t="s">
        <v>17</v>
      </c>
      <c r="AQ351" s="169">
        <f>SUM(AQ333:AQ350)</f>
        <v>171488788</v>
      </c>
      <c r="AR351" s="190" t="s">
        <v>143</v>
      </c>
      <c r="AS351" s="204">
        <f>SUM(AS333:AS350)</f>
        <v>-7664.5323201100018</v>
      </c>
      <c r="BB351" s="190" t="s">
        <v>143</v>
      </c>
      <c r="BC351" s="191" t="s">
        <v>17</v>
      </c>
      <c r="BD351" s="169">
        <f>SUM(BD333:BD350)</f>
        <v>177528413</v>
      </c>
      <c r="BE351" s="72" t="s">
        <v>143</v>
      </c>
      <c r="BF351" s="237">
        <f>SUM(BF333:BF350)</f>
        <v>-8347.9345817800004</v>
      </c>
      <c r="BO351" s="190" t="s">
        <v>143</v>
      </c>
      <c r="BP351" s="191" t="s">
        <v>17</v>
      </c>
      <c r="BQ351" s="169">
        <f>SUM(BQ333:BQ350)</f>
        <v>183030417</v>
      </c>
      <c r="BR351" s="190" t="s">
        <v>143</v>
      </c>
      <c r="BS351" s="204">
        <f>SUM(BS333:BS350)</f>
        <v>-8816.4145674400006</v>
      </c>
      <c r="CF351" s="228"/>
      <c r="CG351" s="228"/>
      <c r="CH351" s="228"/>
      <c r="CI351" s="228"/>
      <c r="CJ351" s="228"/>
      <c r="CK351" s="196"/>
      <c r="CL351" s="195"/>
      <c r="CM351" s="195"/>
      <c r="CN351" s="195"/>
      <c r="CO351" s="195"/>
      <c r="CP351" s="195"/>
      <c r="CQ351" s="195"/>
      <c r="CR351" s="195"/>
    </row>
    <row r="352" spans="3:96" x14ac:dyDescent="0.25">
      <c r="O352" s="205"/>
      <c r="P352" s="206"/>
      <c r="Q352" s="37"/>
      <c r="R352" s="205"/>
      <c r="S352" s="207"/>
      <c r="AB352" s="205"/>
      <c r="AC352" s="206"/>
      <c r="AD352" s="37"/>
      <c r="AE352" s="205"/>
      <c r="AF352" s="207"/>
      <c r="AO352" s="205"/>
      <c r="AP352" s="206"/>
      <c r="AQ352" s="37"/>
      <c r="AR352" s="205"/>
      <c r="AS352" s="207"/>
      <c r="BB352" s="205"/>
      <c r="BC352" s="206"/>
      <c r="BD352" s="37"/>
      <c r="BE352" s="205"/>
      <c r="BF352" s="207"/>
      <c r="CF352" s="228"/>
      <c r="CG352" s="228"/>
      <c r="CH352" s="228"/>
      <c r="CI352" s="228"/>
      <c r="CJ352" s="228"/>
      <c r="CK352" s="196"/>
      <c r="CL352" s="195"/>
      <c r="CM352" s="195"/>
      <c r="CN352" s="195"/>
      <c r="CO352" s="195"/>
      <c r="CP352" s="195"/>
      <c r="CQ352" s="195"/>
      <c r="CR352" s="195"/>
    </row>
    <row r="353" spans="3:96" x14ac:dyDescent="0.25">
      <c r="CF353" s="228"/>
      <c r="CG353" s="228"/>
      <c r="CH353" s="228"/>
      <c r="CI353" s="228"/>
      <c r="CJ353" s="228"/>
      <c r="CK353" s="196"/>
      <c r="CL353" s="195"/>
      <c r="CM353" s="195"/>
      <c r="CN353" s="195"/>
      <c r="CO353" s="195"/>
      <c r="CP353" s="195"/>
      <c r="CQ353" s="195"/>
      <c r="CR353" s="195"/>
    </row>
    <row r="354" spans="3:96" x14ac:dyDescent="0.25">
      <c r="D354" s="133" t="s">
        <v>137</v>
      </c>
      <c r="N354" s="238"/>
      <c r="CI354" s="195"/>
      <c r="CJ354" s="195"/>
      <c r="CK354" s="195"/>
    </row>
    <row r="356" spans="3:96" x14ac:dyDescent="0.25">
      <c r="D356" s="113" t="str">
        <f>"NMM{2}^{"&amp;launch.year-5&amp;","&amp;launch.year&amp;"} = "</f>
        <v xml:space="preserve">NMM{2}^{2005,2010} = </v>
      </c>
      <c r="E356" s="25" t="str">
        <f>"PFM{2}^"&amp;launch.year&amp;" X nmm{2}^{"&amp;launch.year&amp;","&amp;launch.year+5&amp;"}"</f>
        <v>PFM{2}^2010 X nmm{2}^{2010,2015}</v>
      </c>
    </row>
    <row r="357" spans="3:96" x14ac:dyDescent="0.25">
      <c r="D357" s="134" t="s">
        <v>108</v>
      </c>
      <c r="E357" s="193" t="str">
        <f>TEXT($E$334,"#,###")&amp;" X "&amp;TEXT($F$334,"0.000E+00")</f>
        <v>10,389,638 X -1.321E-04</v>
      </c>
    </row>
    <row r="358" spans="3:96" x14ac:dyDescent="0.25">
      <c r="D358" s="134" t="s">
        <v>136</v>
      </c>
      <c r="E358" s="171">
        <f>$E$334*$F$334</f>
        <v>-1372.6789725599999</v>
      </c>
    </row>
    <row r="361" spans="3:96" x14ac:dyDescent="0.25">
      <c r="C361" s="208" t="str">
        <f>"Projecting Male Population by Age with Constant Rates: "&amp;study.area&amp;", "&amp;launch.year+5</f>
        <v>Projecting Male Population by Age with Constant Rates: DeKalb County, 2015</v>
      </c>
      <c r="E361" s="37"/>
      <c r="F361" s="37"/>
      <c r="O361" s="208" t="str">
        <f>"Projecting Male Population by Age with Constant Rates: "&amp;study.area&amp;", "&amp;launch.year+10</f>
        <v>Projecting Male Population by Age with Constant Rates: DeKalb County, 2020</v>
      </c>
      <c r="AB361" s="208" t="str">
        <f>"Projecting Male Population by Age with Constant Rates: "&amp;study.area&amp;", "&amp;launch.year+15</f>
        <v>Projecting Male Population by Age with Constant Rates: DeKalb County, 2025</v>
      </c>
      <c r="AO361" s="208" t="str">
        <f>"Projecting Male Population by Age with Constant Rates: "&amp;study.area&amp;", "&amp;launch.year+20</f>
        <v>Projecting Male Population by Age with Constant Rates: DeKalb County, 2030</v>
      </c>
      <c r="BB361" s="208" t="str">
        <f>"Projecting Male Population by Age with Constant Rates: "&amp;study.area&amp;", "&amp;launch.year+25</f>
        <v>Projecting Male Population by Age with Constant Rates: DeKalb County, 2035</v>
      </c>
      <c r="BO361" s="208" t="str">
        <f>"Projecting Male Population by Age with Constant Rates: "&amp;study.area&amp;", "&amp;launch.year+30</f>
        <v>Projecting Male Population by Age with Constant Rates: DeKalb County, 2040</v>
      </c>
      <c r="CF361" s="195"/>
      <c r="CG361" s="195"/>
    </row>
    <row r="363" spans="3:96" ht="30" x14ac:dyDescent="0.25">
      <c r="C363" s="172" t="s">
        <v>6</v>
      </c>
      <c r="D363" s="172" t="s">
        <v>78</v>
      </c>
      <c r="E363" s="172" t="s">
        <v>150</v>
      </c>
      <c r="F363" s="172" t="s">
        <v>127</v>
      </c>
      <c r="G363" s="172" t="s">
        <v>151</v>
      </c>
      <c r="H363" s="172" t="s">
        <v>149</v>
      </c>
      <c r="I363" s="172" t="s">
        <v>152</v>
      </c>
      <c r="J363" s="172" t="s">
        <v>152</v>
      </c>
      <c r="K363" s="172" t="s">
        <v>155</v>
      </c>
      <c r="L363" s="172" t="s">
        <v>154</v>
      </c>
      <c r="O363" s="172" t="s">
        <v>6</v>
      </c>
      <c r="P363" s="172" t="s">
        <v>78</v>
      </c>
      <c r="Q363" s="172" t="s">
        <v>150</v>
      </c>
      <c r="R363" s="172" t="s">
        <v>127</v>
      </c>
      <c r="S363" s="172" t="s">
        <v>151</v>
      </c>
      <c r="T363" s="172" t="s">
        <v>149</v>
      </c>
      <c r="U363" s="209" t="s">
        <v>152</v>
      </c>
      <c r="V363" s="210"/>
      <c r="W363" s="211"/>
      <c r="X363" s="172" t="s">
        <v>155</v>
      </c>
      <c r="Y363" s="172" t="s">
        <v>154</v>
      </c>
      <c r="Z363" s="228"/>
      <c r="AA363" s="195"/>
      <c r="AB363" s="172" t="s">
        <v>6</v>
      </c>
      <c r="AC363" s="172" t="s">
        <v>78</v>
      </c>
      <c r="AD363" s="172" t="s">
        <v>150</v>
      </c>
      <c r="AE363" s="172" t="s">
        <v>127</v>
      </c>
      <c r="AF363" s="172" t="s">
        <v>151</v>
      </c>
      <c r="AG363" s="172" t="s">
        <v>149</v>
      </c>
      <c r="AH363" s="209" t="s">
        <v>152</v>
      </c>
      <c r="AI363" s="210"/>
      <c r="AJ363" s="211"/>
      <c r="AK363" s="172" t="s">
        <v>155</v>
      </c>
      <c r="AL363" s="172" t="s">
        <v>154</v>
      </c>
      <c r="AM363" s="228"/>
      <c r="AN363" s="228"/>
      <c r="AO363" s="172" t="s">
        <v>6</v>
      </c>
      <c r="AP363" s="172" t="s">
        <v>78</v>
      </c>
      <c r="AQ363" s="172" t="s">
        <v>150</v>
      </c>
      <c r="AR363" s="172" t="s">
        <v>127</v>
      </c>
      <c r="AS363" s="172" t="s">
        <v>151</v>
      </c>
      <c r="AT363" s="172" t="s">
        <v>149</v>
      </c>
      <c r="AU363" s="209" t="s">
        <v>152</v>
      </c>
      <c r="AV363" s="210"/>
      <c r="AW363" s="211"/>
      <c r="AX363" s="172" t="s">
        <v>155</v>
      </c>
      <c r="AY363" s="172" t="s">
        <v>154</v>
      </c>
      <c r="AZ363" s="228"/>
      <c r="BA363" s="228"/>
      <c r="BB363" s="172" t="s">
        <v>6</v>
      </c>
      <c r="BC363" s="172" t="s">
        <v>78</v>
      </c>
      <c r="BD363" s="172" t="s">
        <v>150</v>
      </c>
      <c r="BE363" s="172" t="s">
        <v>127</v>
      </c>
      <c r="BF363" s="172" t="s">
        <v>151</v>
      </c>
      <c r="BG363" s="172" t="s">
        <v>149</v>
      </c>
      <c r="BH363" s="209" t="s">
        <v>152</v>
      </c>
      <c r="BI363" s="210"/>
      <c r="BJ363" s="211"/>
      <c r="BK363" s="172" t="s">
        <v>155</v>
      </c>
      <c r="BL363" s="172" t="s">
        <v>154</v>
      </c>
      <c r="BO363" s="172" t="s">
        <v>6</v>
      </c>
      <c r="BP363" s="172" t="s">
        <v>78</v>
      </c>
      <c r="BQ363" s="172" t="s">
        <v>150</v>
      </c>
      <c r="BR363" s="172" t="s">
        <v>127</v>
      </c>
      <c r="BS363" s="172" t="s">
        <v>151</v>
      </c>
      <c r="BT363" s="172" t="s">
        <v>149</v>
      </c>
      <c r="BU363" s="209" t="s">
        <v>152</v>
      </c>
      <c r="BV363" s="210"/>
      <c r="BW363" s="211"/>
      <c r="BX363" s="172" t="s">
        <v>155</v>
      </c>
      <c r="BY363" s="172" t="s">
        <v>154</v>
      </c>
      <c r="BZ363" s="228"/>
      <c r="CA363" s="228"/>
      <c r="CB363" s="172" t="s">
        <v>6</v>
      </c>
      <c r="CC363" s="172" t="s">
        <v>78</v>
      </c>
      <c r="CD363" s="239" t="s">
        <v>166</v>
      </c>
      <c r="CE363" s="240"/>
      <c r="CF363" s="172" t="s">
        <v>164</v>
      </c>
      <c r="CG363" s="228"/>
      <c r="CH363" s="228"/>
    </row>
    <row r="364" spans="3:96" s="214" customFormat="1" x14ac:dyDescent="0.25">
      <c r="C364" s="197" t="s">
        <v>31</v>
      </c>
      <c r="D364" s="197"/>
      <c r="E364" s="197" t="str">
        <f>"PM{n}^"&amp;launch.year</f>
        <v>PM{n}^2010</v>
      </c>
      <c r="F364" s="179" t="str">
        <f>"s{n,n+1}^{"&amp;launch.year&amp;"-"&amp;launch.year+5&amp;"}"</f>
        <v>s{n,n+1}^{2010-2015}</v>
      </c>
      <c r="G364" s="197" t="str">
        <f>"PM{n}^"&amp;launch.year+5</f>
        <v>PM{n}^2015</v>
      </c>
      <c r="H364" s="179" t="str">
        <f>"NMM{n}^{"&amp;launch.year&amp;","&amp;launch.year+5&amp;"}"</f>
        <v>NMM{n}^{2010,2015}</v>
      </c>
      <c r="I364" s="197" t="str">
        <f>"fm{n}^{"&amp;launch.year&amp;","&amp;launch.year+5&amp;"}"</f>
        <v>fm{n}^{2010,2015}</v>
      </c>
      <c r="J364" s="197" t="str">
        <f>"fm{n}^{"&amp;launch.year+5&amp;","&amp;launch.year+10&amp;"}"</f>
        <v>fm{n}^{2015,2020}</v>
      </c>
      <c r="K364" s="179" t="str">
        <f>"BM{n}^{"&amp;launch.year&amp;","&amp;launch.year+5&amp;"}"</f>
        <v>BM{n}^{2010,2015}</v>
      </c>
      <c r="L364" s="197" t="str">
        <f>"PM{n}^"&amp;launch.year+5</f>
        <v>PM{n}^2015</v>
      </c>
      <c r="O364" s="197" t="s">
        <v>31</v>
      </c>
      <c r="P364" s="197"/>
      <c r="Q364" s="197" t="str">
        <f>"PM{n}^"&amp;launch.year+5</f>
        <v>PM{n}^2015</v>
      </c>
      <c r="R364" s="179" t="str">
        <f>"s{n,n+1}^{"&amp;launch.year+5&amp;"-"&amp;launch.year+10&amp;"}"</f>
        <v>s{n,n+1}^{2015-2020}</v>
      </c>
      <c r="S364" s="197" t="str">
        <f>"PM{n}^"&amp;launch.year+10</f>
        <v>PM{n}^2020</v>
      </c>
      <c r="T364" s="179" t="str">
        <f>"NMM{n}^{"&amp;launch.year+5&amp;","&amp;launch.year+10&amp;"}"</f>
        <v>NMM{n}^{2015,2020}</v>
      </c>
      <c r="U364" s="197" t="str">
        <f>"fm{n}^{"&amp;launch.year+5&amp;","&amp;launch.year+10&amp;"}"</f>
        <v>fm{n}^{2015,2020}</v>
      </c>
      <c r="V364" s="197" t="str">
        <f>"fm{n}^{"&amp;launch.year+10&amp;","&amp;launch.year+15&amp;"}"</f>
        <v>fm{n}^{2020,2025}</v>
      </c>
      <c r="W364" s="179" t="s">
        <v>117</v>
      </c>
      <c r="X364" s="179" t="str">
        <f>"BM{n}^{"&amp;launch.year+5&amp;","&amp;launch.year+10&amp;"}"</f>
        <v>BM{n}^{2015,2020}</v>
      </c>
      <c r="Y364" s="197" t="str">
        <f>"PM{n}^"&amp;launch.year+10</f>
        <v>PM{n}^2020</v>
      </c>
      <c r="Z364" s="213"/>
      <c r="AB364" s="197" t="s">
        <v>31</v>
      </c>
      <c r="AC364" s="197"/>
      <c r="AD364" s="179" t="str">
        <f>"PM{n}^"&amp;launch.year+10</f>
        <v>PM{n}^2020</v>
      </c>
      <c r="AE364" s="179" t="str">
        <f>"s{n,n+1}^{"&amp;launch.year+10&amp;"-"&amp;launch.year+15&amp;"}"</f>
        <v>s{n,n+1}^{2020-2025}</v>
      </c>
      <c r="AF364" s="179" t="str">
        <f>"PM{n}^"&amp;launch.year+15</f>
        <v>PM{n}^2025</v>
      </c>
      <c r="AG364" s="179" t="str">
        <f>"NMM{n}^{"&amp;launch.year+10&amp;","&amp;launch.year+15&amp;"}"</f>
        <v>NMM{n}^{2020,2025}</v>
      </c>
      <c r="AH364" s="179" t="str">
        <f>"fm{n}^{"&amp;launch.year+10&amp;","&amp;launch.year+15&amp;"}"</f>
        <v>fm{n}^{2020,2025}</v>
      </c>
      <c r="AI364" s="179" t="str">
        <f>"fm{n}^{"&amp;launch.year+15&amp;","&amp;launch.year+20&amp;"}"</f>
        <v>fm{n}^{2025,2030}</v>
      </c>
      <c r="AJ364" s="179" t="s">
        <v>117</v>
      </c>
      <c r="AK364" s="179" t="str">
        <f>"BM{n}^{"&amp;launch.year+10&amp;","&amp;launch.year+15&amp;"}"</f>
        <v>BM{n}^{2020,2025}</v>
      </c>
      <c r="AL364" s="179" t="str">
        <f>"PM{n}^"&amp;launch.year+15</f>
        <v>PM{n}^2025</v>
      </c>
      <c r="AM364" s="206"/>
      <c r="AN364" s="206"/>
      <c r="AO364" s="197" t="s">
        <v>31</v>
      </c>
      <c r="AP364" s="197"/>
      <c r="AQ364" s="179" t="str">
        <f>"PM{n}^"&amp;launch.year+15</f>
        <v>PM{n}^2025</v>
      </c>
      <c r="AR364" s="179" t="str">
        <f>"s{n,n+1}^{"&amp;launch.year+15&amp;"-"&amp;launch.year+20&amp;"}"</f>
        <v>s{n,n+1}^{2025-2030}</v>
      </c>
      <c r="AS364" s="179" t="str">
        <f>"PM{n}^"&amp;launch.year+20</f>
        <v>PM{n}^2030</v>
      </c>
      <c r="AT364" s="179" t="str">
        <f>"NMM{n}^{"&amp;launch.year+15&amp;","&amp;launch.year+20&amp;"}"</f>
        <v>NMM{n}^{2025,2030}</v>
      </c>
      <c r="AU364" s="179" t="str">
        <f>"fm{n}^{"&amp;launch.year+15&amp;","&amp;launch.year+20&amp;"}"</f>
        <v>fm{n}^{2025,2030}</v>
      </c>
      <c r="AV364" s="179" t="str">
        <f>"fm{n}^{"&amp;launch.year+20&amp;","&amp;launch.year+25&amp;"}"</f>
        <v>fm{n}^{2030,2035}</v>
      </c>
      <c r="AW364" s="179" t="s">
        <v>117</v>
      </c>
      <c r="AX364" s="179" t="str">
        <f>"BM{n}^{"&amp;launch.year+15&amp;","&amp;launch.year+20&amp;"}"</f>
        <v>BM{n}^{2025,2030}</v>
      </c>
      <c r="AY364" s="179" t="str">
        <f>"PM{n}^"&amp;launch.year+20</f>
        <v>PM{n}^2030</v>
      </c>
      <c r="AZ364" s="206"/>
      <c r="BA364" s="206"/>
      <c r="BB364" s="197" t="s">
        <v>31</v>
      </c>
      <c r="BC364" s="197"/>
      <c r="BD364" s="179" t="str">
        <f>"PM{n}^"&amp;launch.year+20</f>
        <v>PM{n}^2030</v>
      </c>
      <c r="BE364" s="179" t="str">
        <f>"s{n,n+1}^{"&amp;launch.year+20&amp;"-"&amp;launch.year+25&amp;"}"</f>
        <v>s{n,n+1}^{2030-2035}</v>
      </c>
      <c r="BF364" s="179" t="str">
        <f>"PM{n}^"&amp;launch.year+25</f>
        <v>PM{n}^2035</v>
      </c>
      <c r="BG364" s="179" t="str">
        <f>"NMM{n}^{"&amp;launch.year+20&amp;","&amp;launch.year+25&amp;"}"</f>
        <v>NMM{n}^{2030,2035}</v>
      </c>
      <c r="BH364" s="179" t="str">
        <f>"fm{n}^{"&amp;launch.year+20&amp;","&amp;launch.year+25&amp;"}"</f>
        <v>fm{n}^{2030,2035}</v>
      </c>
      <c r="BI364" s="179" t="str">
        <f>"fm{n}^{"&amp;launch.year+25&amp;","&amp;launch.year+30&amp;"}"</f>
        <v>fm{n}^{2035,2040}</v>
      </c>
      <c r="BJ364" s="179" t="s">
        <v>117</v>
      </c>
      <c r="BK364" s="179" t="str">
        <f>"BM{n}^{"&amp;launch.year+20&amp;","&amp;launch.year+25&amp;"}"</f>
        <v>BM{n}^{2030,2035}</v>
      </c>
      <c r="BL364" s="179" t="str">
        <f>"PM{n}^"&amp;launch.year+25</f>
        <v>PM{n}^2035</v>
      </c>
      <c r="BM364" s="212"/>
      <c r="BN364" s="212"/>
      <c r="BO364" s="197" t="s">
        <v>31</v>
      </c>
      <c r="BP364" s="197"/>
      <c r="BQ364" s="179" t="str">
        <f>"PM{n}^"&amp;launch.year+25</f>
        <v>PM{n}^2035</v>
      </c>
      <c r="BR364" s="179" t="str">
        <f>"s{n,n+1}^{"&amp;launch.year+25&amp;"-"&amp;launch.year+30&amp;"}"</f>
        <v>s{n,n+1}^{2035-2040}</v>
      </c>
      <c r="BS364" s="179" t="str">
        <f>"PM{n}^"&amp;launch.year+30</f>
        <v>PM{n}^2040</v>
      </c>
      <c r="BT364" s="179" t="str">
        <f>"NMM{n}^{"&amp;launch.year+25&amp;","&amp;launch.year+30&amp;"}"</f>
        <v>NMM{n}^{2035,2040}</v>
      </c>
      <c r="BU364" s="179" t="str">
        <f>"fm{n}^{"&amp;launch.year+25&amp;","&amp;launch.year+30&amp;"}"</f>
        <v>fm{n}^{2035,2040}</v>
      </c>
      <c r="BV364" s="179" t="str">
        <f>"fm{n}^{"&amp;launch.year+30&amp;","&amp;launch.year+35&amp;"}"</f>
        <v>fm{n}^{2040,2045}</v>
      </c>
      <c r="BW364" s="179" t="s">
        <v>117</v>
      </c>
      <c r="BX364" s="179" t="str">
        <f>"BM{n}^{"&amp;launch.year+25&amp;","&amp;launch.year+30&amp;"}"</f>
        <v>BM{n}^{2035,2040}</v>
      </c>
      <c r="BY364" s="179" t="str">
        <f>"PM{n}^"&amp;launch.year+30</f>
        <v>PM{n}^2040</v>
      </c>
      <c r="BZ364" s="206"/>
      <c r="CA364" s="213"/>
      <c r="CB364" s="197" t="s">
        <v>31</v>
      </c>
      <c r="CC364" s="197"/>
      <c r="CD364" s="176">
        <f>launch.year</f>
        <v>2010</v>
      </c>
      <c r="CE364" s="176">
        <f>launch.year+30</f>
        <v>2040</v>
      </c>
      <c r="CF364" s="197"/>
      <c r="CG364" s="213"/>
      <c r="CH364" s="213"/>
    </row>
    <row r="365" spans="3:96" x14ac:dyDescent="0.25">
      <c r="C365" s="215" t="s">
        <v>9</v>
      </c>
      <c r="D365" s="215" t="s">
        <v>10</v>
      </c>
      <c r="E365" s="215" t="s">
        <v>11</v>
      </c>
      <c r="F365" s="215" t="s">
        <v>12</v>
      </c>
      <c r="G365" s="215" t="s">
        <v>13</v>
      </c>
      <c r="H365" s="215" t="s">
        <v>14</v>
      </c>
      <c r="I365" s="215" t="s">
        <v>15</v>
      </c>
      <c r="J365" s="241" t="s">
        <v>16</v>
      </c>
      <c r="K365" s="241" t="s">
        <v>18</v>
      </c>
      <c r="L365" s="241" t="s">
        <v>19</v>
      </c>
      <c r="O365" s="215" t="s">
        <v>9</v>
      </c>
      <c r="P365" s="215" t="s">
        <v>10</v>
      </c>
      <c r="Q365" s="215" t="s">
        <v>11</v>
      </c>
      <c r="R365" s="215" t="s">
        <v>12</v>
      </c>
      <c r="S365" s="215" t="s">
        <v>13</v>
      </c>
      <c r="T365" s="215" t="s">
        <v>14</v>
      </c>
      <c r="U365" s="180" t="s">
        <v>15</v>
      </c>
      <c r="V365" s="180" t="s">
        <v>16</v>
      </c>
      <c r="W365" s="180" t="s">
        <v>18</v>
      </c>
      <c r="X365" s="180" t="s">
        <v>19</v>
      </c>
      <c r="Y365" s="180" t="s">
        <v>30</v>
      </c>
      <c r="Z365" s="228"/>
      <c r="AB365" s="63" t="s">
        <v>9</v>
      </c>
      <c r="AC365" s="147" t="s">
        <v>10</v>
      </c>
      <c r="AD365" s="63" t="s">
        <v>11</v>
      </c>
      <c r="AE365" s="63" t="s">
        <v>12</v>
      </c>
      <c r="AF365" s="147" t="s">
        <v>13</v>
      </c>
      <c r="AG365" s="147" t="s">
        <v>14</v>
      </c>
      <c r="AH365" s="180" t="s">
        <v>15</v>
      </c>
      <c r="AI365" s="180" t="s">
        <v>16</v>
      </c>
      <c r="AJ365" s="180" t="s">
        <v>18</v>
      </c>
      <c r="AK365" s="180" t="s">
        <v>19</v>
      </c>
      <c r="AL365" s="180" t="s">
        <v>30</v>
      </c>
      <c r="AM365" s="74"/>
      <c r="AN365" s="66"/>
      <c r="AO365" s="63" t="s">
        <v>9</v>
      </c>
      <c r="AP365" s="147" t="s">
        <v>10</v>
      </c>
      <c r="AQ365" s="63" t="s">
        <v>11</v>
      </c>
      <c r="AR365" s="63" t="s">
        <v>12</v>
      </c>
      <c r="AS365" s="147" t="s">
        <v>13</v>
      </c>
      <c r="AT365" s="147" t="s">
        <v>14</v>
      </c>
      <c r="AU365" s="180" t="s">
        <v>15</v>
      </c>
      <c r="AV365" s="180" t="s">
        <v>16</v>
      </c>
      <c r="AW365" s="180" t="s">
        <v>18</v>
      </c>
      <c r="AX365" s="180" t="s">
        <v>19</v>
      </c>
      <c r="AY365" s="180" t="s">
        <v>30</v>
      </c>
      <c r="AZ365" s="74"/>
      <c r="BA365" s="74"/>
      <c r="BB365" s="63" t="s">
        <v>9</v>
      </c>
      <c r="BC365" s="147" t="s">
        <v>10</v>
      </c>
      <c r="BD365" s="63" t="s">
        <v>11</v>
      </c>
      <c r="BE365" s="63" t="s">
        <v>12</v>
      </c>
      <c r="BF365" s="147" t="s">
        <v>13</v>
      </c>
      <c r="BG365" s="147" t="s">
        <v>14</v>
      </c>
      <c r="BH365" s="180" t="s">
        <v>15</v>
      </c>
      <c r="BI365" s="180" t="s">
        <v>16</v>
      </c>
      <c r="BJ365" s="180" t="s">
        <v>18</v>
      </c>
      <c r="BK365" s="180" t="s">
        <v>19</v>
      </c>
      <c r="BL365" s="180" t="s">
        <v>30</v>
      </c>
      <c r="BO365" s="63" t="s">
        <v>9</v>
      </c>
      <c r="BP365" s="147" t="s">
        <v>10</v>
      </c>
      <c r="BQ365" s="63" t="s">
        <v>11</v>
      </c>
      <c r="BR365" s="63" t="s">
        <v>12</v>
      </c>
      <c r="BS365" s="147" t="s">
        <v>13</v>
      </c>
      <c r="BT365" s="147" t="s">
        <v>14</v>
      </c>
      <c r="BU365" s="180" t="s">
        <v>15</v>
      </c>
      <c r="BV365" s="180" t="s">
        <v>16</v>
      </c>
      <c r="BW365" s="180" t="s">
        <v>18</v>
      </c>
      <c r="BX365" s="147" t="s">
        <v>16</v>
      </c>
      <c r="BY365" s="147" t="s">
        <v>18</v>
      </c>
      <c r="BZ365" s="74"/>
      <c r="CA365" s="66"/>
      <c r="CB365" s="63" t="s">
        <v>9</v>
      </c>
      <c r="CC365" s="147" t="s">
        <v>10</v>
      </c>
      <c r="CD365" s="63" t="s">
        <v>11</v>
      </c>
      <c r="CE365" s="63" t="s">
        <v>12</v>
      </c>
      <c r="CF365" s="147" t="s">
        <v>13</v>
      </c>
      <c r="CG365" s="74"/>
      <c r="CH365" s="74"/>
    </row>
    <row r="366" spans="3:96" x14ac:dyDescent="0.25">
      <c r="C366" s="58">
        <f t="shared" ref="C366:D385" si="106">B277</f>
        <v>0</v>
      </c>
      <c r="D366" s="58" t="str">
        <f t="shared" si="106"/>
        <v>Births</v>
      </c>
      <c r="E366" s="217" t="str">
        <f>$K277</f>
        <v>---</v>
      </c>
      <c r="F366" s="218">
        <f t="shared" ref="F366:F384" si="107">I8</f>
        <v>0.99294199999999999</v>
      </c>
      <c r="G366" s="219" t="s">
        <v>95</v>
      </c>
      <c r="H366" s="220" t="s">
        <v>95</v>
      </c>
      <c r="I366" s="220" t="str">
        <f t="shared" ref="I366:K368" si="108">H277</f>
        <v>--</v>
      </c>
      <c r="J366" s="220" t="str">
        <f t="shared" si="108"/>
        <v>--</v>
      </c>
      <c r="K366" s="219" t="str">
        <f t="shared" si="108"/>
        <v>--</v>
      </c>
      <c r="L366" s="219" t="s">
        <v>143</v>
      </c>
      <c r="O366" s="58">
        <v>0</v>
      </c>
      <c r="P366" s="58" t="s">
        <v>79</v>
      </c>
      <c r="Q366" s="217" t="str">
        <f>$V366</f>
        <v>---</v>
      </c>
      <c r="R366" s="218">
        <f>F366</f>
        <v>0.99294199999999999</v>
      </c>
      <c r="S366" s="219" t="s">
        <v>95</v>
      </c>
      <c r="T366" s="220" t="s">
        <v>95</v>
      </c>
      <c r="U366" s="166" t="s">
        <v>95</v>
      </c>
      <c r="V366" s="221" t="s">
        <v>95</v>
      </c>
      <c r="W366" s="201" t="s">
        <v>143</v>
      </c>
      <c r="X366" s="186" t="s">
        <v>143</v>
      </c>
      <c r="Y366" s="219" t="s">
        <v>143</v>
      </c>
      <c r="Z366" s="74"/>
      <c r="AB366" s="57">
        <v>0</v>
      </c>
      <c r="AC366" s="166" t="s">
        <v>79</v>
      </c>
      <c r="AD366" s="167" t="s">
        <v>95</v>
      </c>
      <c r="AE366" s="151">
        <f>F366</f>
        <v>0.99294199999999999</v>
      </c>
      <c r="AF366" s="166" t="s">
        <v>95</v>
      </c>
      <c r="AG366" s="221" t="s">
        <v>95</v>
      </c>
      <c r="AH366" s="166" t="s">
        <v>95</v>
      </c>
      <c r="AI366" s="221" t="s">
        <v>95</v>
      </c>
      <c r="AJ366" s="201" t="s">
        <v>143</v>
      </c>
      <c r="AK366" s="186" t="s">
        <v>143</v>
      </c>
      <c r="AL366" s="166" t="s">
        <v>143</v>
      </c>
      <c r="AM366" s="74"/>
      <c r="AN366" s="101"/>
      <c r="AO366" s="57">
        <v>0</v>
      </c>
      <c r="AP366" s="166" t="s">
        <v>79</v>
      </c>
      <c r="AQ366" s="167" t="s">
        <v>95</v>
      </c>
      <c r="AR366" s="151">
        <f t="shared" ref="AR366:AR384" si="109">AE366</f>
        <v>0.99294199999999999</v>
      </c>
      <c r="AS366" s="166" t="s">
        <v>95</v>
      </c>
      <c r="AT366" s="221" t="s">
        <v>95</v>
      </c>
      <c r="AU366" s="166" t="s">
        <v>95</v>
      </c>
      <c r="AV366" s="221" t="s">
        <v>95</v>
      </c>
      <c r="AW366" s="201" t="s">
        <v>143</v>
      </c>
      <c r="AX366" s="186" t="s">
        <v>143</v>
      </c>
      <c r="AY366" s="166" t="s">
        <v>143</v>
      </c>
      <c r="AZ366" s="74"/>
      <c r="BA366" s="222"/>
      <c r="BB366" s="57">
        <v>0</v>
      </c>
      <c r="BC366" s="166" t="s">
        <v>79</v>
      </c>
      <c r="BD366" s="167" t="s">
        <v>95</v>
      </c>
      <c r="BE366" s="151">
        <f>AR366</f>
        <v>0.99294199999999999</v>
      </c>
      <c r="BF366" s="166" t="s">
        <v>95</v>
      </c>
      <c r="BG366" s="221" t="s">
        <v>95</v>
      </c>
      <c r="BH366" s="166" t="s">
        <v>95</v>
      </c>
      <c r="BI366" s="221" t="s">
        <v>95</v>
      </c>
      <c r="BJ366" s="201" t="s">
        <v>143</v>
      </c>
      <c r="BK366" s="186" t="s">
        <v>143</v>
      </c>
      <c r="BL366" s="166" t="s">
        <v>143</v>
      </c>
      <c r="BO366" s="57">
        <v>0</v>
      </c>
      <c r="BP366" s="166" t="s">
        <v>79</v>
      </c>
      <c r="BQ366" s="167" t="s">
        <v>95</v>
      </c>
      <c r="BR366" s="151">
        <f>BE366</f>
        <v>0.99294199999999999</v>
      </c>
      <c r="BS366" s="166" t="s">
        <v>95</v>
      </c>
      <c r="BT366" s="221" t="s">
        <v>95</v>
      </c>
      <c r="BU366" s="166" t="s">
        <v>95</v>
      </c>
      <c r="BV366" s="221" t="s">
        <v>95</v>
      </c>
      <c r="BW366" s="201" t="s">
        <v>143</v>
      </c>
      <c r="BX366" s="186" t="s">
        <v>143</v>
      </c>
      <c r="BY366" s="166" t="s">
        <v>143</v>
      </c>
      <c r="BZ366" s="222"/>
      <c r="CA366" s="66"/>
      <c r="CB366" s="57">
        <v>1</v>
      </c>
      <c r="CC366" s="57" t="s">
        <v>118</v>
      </c>
      <c r="CD366" s="165">
        <f>Input!I11</f>
        <v>25856</v>
      </c>
      <c r="CE366" s="165">
        <f t="shared" ref="CE366:CE383" si="110">BY367</f>
        <v>27590.047130939998</v>
      </c>
      <c r="CF366" s="223">
        <f t="shared" ref="CF366:CF384" si="111">(CE366-CD366)/CD366</f>
        <v>6.7065560447865033E-2</v>
      </c>
      <c r="CG366" s="74"/>
      <c r="CH366" s="74"/>
    </row>
    <row r="367" spans="3:96" x14ac:dyDescent="0.25">
      <c r="C367" s="57">
        <f t="shared" si="106"/>
        <v>1</v>
      </c>
      <c r="D367" s="57" t="str">
        <f t="shared" si="106"/>
        <v xml:space="preserve">0-4 </v>
      </c>
      <c r="E367" s="167">
        <f>Input!I11</f>
        <v>25856</v>
      </c>
      <c r="F367" s="151">
        <f t="shared" si="107"/>
        <v>0.99883981138878197</v>
      </c>
      <c r="G367" s="181">
        <f>K385*F366</f>
        <v>27364.488578</v>
      </c>
      <c r="H367" s="165">
        <f>G333</f>
        <v>-1884.5337587400002</v>
      </c>
      <c r="I367" s="221" t="str">
        <f t="shared" si="108"/>
        <v>--</v>
      </c>
      <c r="J367" s="221" t="str">
        <f t="shared" si="108"/>
        <v>--</v>
      </c>
      <c r="K367" s="166" t="str">
        <f t="shared" si="108"/>
        <v>--</v>
      </c>
      <c r="L367" s="181">
        <f t="shared" ref="L367:L384" si="112">G367+H367</f>
        <v>25479.954819260001</v>
      </c>
      <c r="O367" s="57">
        <v>1</v>
      </c>
      <c r="P367" s="57" t="s">
        <v>118</v>
      </c>
      <c r="Q367" s="167">
        <f>L367</f>
        <v>25479.954819260001</v>
      </c>
      <c r="R367" s="151">
        <f t="shared" ref="R367:R384" si="113">F367</f>
        <v>0.99883981138878197</v>
      </c>
      <c r="S367" s="181">
        <f>X385*R366</f>
        <v>27517.401645999998</v>
      </c>
      <c r="T367" s="165">
        <f t="shared" ref="T367:T384" si="114">S333</f>
        <v>-1864.6539281600001</v>
      </c>
      <c r="U367" s="201" t="s">
        <v>143</v>
      </c>
      <c r="V367" s="201" t="s">
        <v>143</v>
      </c>
      <c r="W367" s="201" t="s">
        <v>143</v>
      </c>
      <c r="X367" s="201" t="s">
        <v>143</v>
      </c>
      <c r="Y367" s="181">
        <f t="shared" ref="Y367:Y384" si="115">S367+T367</f>
        <v>25652.747717839997</v>
      </c>
      <c r="Z367" s="229"/>
      <c r="AB367" s="57">
        <v>1</v>
      </c>
      <c r="AC367" s="57" t="s">
        <v>118</v>
      </c>
      <c r="AD367" s="167">
        <f>Y367</f>
        <v>25652.747717839997</v>
      </c>
      <c r="AE367" s="151">
        <f t="shared" ref="AE367:AE384" si="116">F367</f>
        <v>0.99883981138878197</v>
      </c>
      <c r="AF367" s="181">
        <f>AK385*AE366</f>
        <v>28000.964400000001</v>
      </c>
      <c r="AG367" s="165">
        <f t="shared" ref="AG367:AG384" si="117">AF333</f>
        <v>-1921.1943585000001</v>
      </c>
      <c r="AH367" s="201" t="s">
        <v>143</v>
      </c>
      <c r="AI367" s="201" t="s">
        <v>143</v>
      </c>
      <c r="AJ367" s="201" t="s">
        <v>143</v>
      </c>
      <c r="AK367" s="201" t="s">
        <v>143</v>
      </c>
      <c r="AL367" s="181">
        <f t="shared" ref="AL367:AL384" si="118">AF367+AG367</f>
        <v>26079.7700415</v>
      </c>
      <c r="AM367" s="66"/>
      <c r="AN367" s="101"/>
      <c r="AO367" s="57">
        <v>1</v>
      </c>
      <c r="AP367" s="57" t="s">
        <v>118</v>
      </c>
      <c r="AQ367" s="167">
        <f>AL367</f>
        <v>26079.7700415</v>
      </c>
      <c r="AR367" s="151">
        <f t="shared" si="109"/>
        <v>0.99883981138878197</v>
      </c>
      <c r="AS367" s="181">
        <f>AX385*AR366</f>
        <v>28623.539034000001</v>
      </c>
      <c r="AT367" s="165">
        <f t="shared" ref="AT367:AT384" si="119">AS333</f>
        <v>-1962.5572406400001</v>
      </c>
      <c r="AU367" s="201" t="s">
        <v>143</v>
      </c>
      <c r="AV367" s="201" t="s">
        <v>143</v>
      </c>
      <c r="AW367" s="201" t="s">
        <v>143</v>
      </c>
      <c r="AX367" s="201" t="s">
        <v>143</v>
      </c>
      <c r="AY367" s="181">
        <f t="shared" ref="AY367:AY384" si="120">AS367+AT367</f>
        <v>26660.981793360002</v>
      </c>
      <c r="AZ367" s="100"/>
      <c r="BA367" s="226"/>
      <c r="BB367" s="57">
        <v>1</v>
      </c>
      <c r="BC367" s="57" t="s">
        <v>118</v>
      </c>
      <c r="BD367" s="167">
        <f>AY367</f>
        <v>26660.981793360002</v>
      </c>
      <c r="BE367" s="151">
        <f t="shared" ref="BE367:BE384" si="121">AR367</f>
        <v>0.99883981138878197</v>
      </c>
      <c r="BF367" s="181">
        <f>BK385*BE366</f>
        <v>29161.713597999998</v>
      </c>
      <c r="BG367" s="165">
        <f t="shared" ref="BG367:BG384" si="122">BF333</f>
        <v>-1978.26566518</v>
      </c>
      <c r="BH367" s="201" t="s">
        <v>143</v>
      </c>
      <c r="BI367" s="201" t="s">
        <v>143</v>
      </c>
      <c r="BJ367" s="201" t="s">
        <v>143</v>
      </c>
      <c r="BK367" s="201" t="s">
        <v>143</v>
      </c>
      <c r="BL367" s="181">
        <f t="shared" ref="BL367:BL384" si="123">BF367+BG367</f>
        <v>27183.44793282</v>
      </c>
      <c r="BO367" s="57">
        <v>1</v>
      </c>
      <c r="BP367" s="57" t="s">
        <v>118</v>
      </c>
      <c r="BQ367" s="167">
        <f>BL367</f>
        <v>27183.44793282</v>
      </c>
      <c r="BR367" s="151">
        <f t="shared" ref="BR367:BR384" si="124">BE367</f>
        <v>0.99883981138878197</v>
      </c>
      <c r="BS367" s="181">
        <f>BX385*BR366</f>
        <v>29576.763353999999</v>
      </c>
      <c r="BT367" s="165">
        <f t="shared" ref="BT367:BT384" si="125">BS333</f>
        <v>-1986.7162230600002</v>
      </c>
      <c r="BU367" s="201" t="s">
        <v>143</v>
      </c>
      <c r="BV367" s="201" t="s">
        <v>143</v>
      </c>
      <c r="BW367" s="201" t="s">
        <v>143</v>
      </c>
      <c r="BX367" s="201" t="s">
        <v>143</v>
      </c>
      <c r="BY367" s="181">
        <f t="shared" ref="BY367:BY384" si="126">BS367+BT367</f>
        <v>27590.047130939998</v>
      </c>
      <c r="BZ367" s="226"/>
      <c r="CA367" s="66"/>
      <c r="CB367" s="57">
        <v>2</v>
      </c>
      <c r="CC367" s="57" t="s">
        <v>39</v>
      </c>
      <c r="CD367" s="165">
        <f>Input!I12</f>
        <v>23110</v>
      </c>
      <c r="CE367" s="165">
        <f>BY368</f>
        <v>25698.227072474703</v>
      </c>
      <c r="CF367" s="223">
        <f t="shared" si="111"/>
        <v>0.1119959789041412</v>
      </c>
      <c r="CG367" s="101"/>
      <c r="CH367" s="101"/>
    </row>
    <row r="368" spans="3:96" x14ac:dyDescent="0.25">
      <c r="C368" s="57">
        <f t="shared" si="106"/>
        <v>2</v>
      </c>
      <c r="D368" s="57" t="str">
        <f t="shared" si="106"/>
        <v>5-9</v>
      </c>
      <c r="E368" s="167">
        <f>Input!I12</f>
        <v>23110</v>
      </c>
      <c r="F368" s="151">
        <f t="shared" si="107"/>
        <v>0.99944343056493812</v>
      </c>
      <c r="G368" s="181">
        <f t="shared" ref="G368:G383" si="127">E367*F367</f>
        <v>25826.002163268346</v>
      </c>
      <c r="H368" s="165">
        <f t="shared" ref="H368:H384" si="128">G334</f>
        <v>-1372.6789725599999</v>
      </c>
      <c r="I368" s="221" t="str">
        <f t="shared" si="108"/>
        <v>--</v>
      </c>
      <c r="J368" s="221" t="str">
        <f t="shared" si="108"/>
        <v>--</v>
      </c>
      <c r="K368" s="166" t="str">
        <f t="shared" si="108"/>
        <v>--</v>
      </c>
      <c r="L368" s="181">
        <f t="shared" si="112"/>
        <v>24453.323190708346</v>
      </c>
      <c r="O368" s="57">
        <v>2</v>
      </c>
      <c r="P368" s="57" t="s">
        <v>39</v>
      </c>
      <c r="Q368" s="167">
        <f t="shared" ref="Q368:Q384" si="129">L368</f>
        <v>24453.323190708346</v>
      </c>
      <c r="R368" s="151">
        <f t="shared" si="113"/>
        <v>0.99944343056493812</v>
      </c>
      <c r="S368" s="181">
        <f>Q367*R367</f>
        <v>25450.393265864346</v>
      </c>
      <c r="T368" s="165">
        <f t="shared" si="114"/>
        <v>-1380.3749625600001</v>
      </c>
      <c r="U368" s="201" t="s">
        <v>143</v>
      </c>
      <c r="V368" s="201" t="s">
        <v>143</v>
      </c>
      <c r="W368" s="201" t="s">
        <v>143</v>
      </c>
      <c r="X368" s="201" t="s">
        <v>143</v>
      </c>
      <c r="Y368" s="181">
        <f t="shared" si="115"/>
        <v>24070.018303304347</v>
      </c>
      <c r="Z368" s="229"/>
      <c r="AB368" s="57">
        <v>2</v>
      </c>
      <c r="AC368" s="57" t="s">
        <v>39</v>
      </c>
      <c r="AD368" s="167">
        <f t="shared" ref="AD368:AD384" si="130">Y368</f>
        <v>24070.018303304347</v>
      </c>
      <c r="AE368" s="151">
        <f t="shared" si="116"/>
        <v>0.99944343056493812</v>
      </c>
      <c r="AF368" s="181">
        <f>AD367*AE367</f>
        <v>25622.985692091308</v>
      </c>
      <c r="AG368" s="165">
        <f t="shared" si="117"/>
        <v>-1368.78090408</v>
      </c>
      <c r="AH368" s="201" t="s">
        <v>143</v>
      </c>
      <c r="AI368" s="201" t="s">
        <v>143</v>
      </c>
      <c r="AJ368" s="201" t="s">
        <v>143</v>
      </c>
      <c r="AK368" s="201" t="s">
        <v>143</v>
      </c>
      <c r="AL368" s="181">
        <f t="shared" si="118"/>
        <v>24254.20478801131</v>
      </c>
      <c r="AM368" s="66"/>
      <c r="AN368" s="101"/>
      <c r="AO368" s="57">
        <v>2</v>
      </c>
      <c r="AP368" s="57" t="s">
        <v>39</v>
      </c>
      <c r="AQ368" s="167">
        <f t="shared" ref="AQ368:AQ384" si="131">AL368</f>
        <v>24254.20478801131</v>
      </c>
      <c r="AR368" s="151">
        <f t="shared" si="109"/>
        <v>0.99944343056493812</v>
      </c>
      <c r="AS368" s="181">
        <f>AQ367*AR367</f>
        <v>26049.512589314665</v>
      </c>
      <c r="AT368" s="165">
        <f t="shared" si="119"/>
        <v>-1410.4512878400001</v>
      </c>
      <c r="AU368" s="201" t="s">
        <v>143</v>
      </c>
      <c r="AV368" s="201" t="s">
        <v>143</v>
      </c>
      <c r="AW368" s="201" t="s">
        <v>143</v>
      </c>
      <c r="AX368" s="201" t="s">
        <v>143</v>
      </c>
      <c r="AY368" s="181">
        <f t="shared" si="120"/>
        <v>24639.061301474663</v>
      </c>
      <c r="AZ368" s="100"/>
      <c r="BA368" s="226"/>
      <c r="BB368" s="57">
        <v>2</v>
      </c>
      <c r="BC368" s="57" t="s">
        <v>39</v>
      </c>
      <c r="BD368" s="167">
        <f t="shared" ref="BD368:BD384" si="132">AY368</f>
        <v>24639.061301474663</v>
      </c>
      <c r="BE368" s="151">
        <f t="shared" si="121"/>
        <v>0.99944343056493812</v>
      </c>
      <c r="BF368" s="181">
        <f>BD367*BE367</f>
        <v>26630.050025919456</v>
      </c>
      <c r="BG368" s="165">
        <f t="shared" si="122"/>
        <v>-1441.3976233200001</v>
      </c>
      <c r="BH368" s="201" t="s">
        <v>143</v>
      </c>
      <c r="BI368" s="201" t="s">
        <v>143</v>
      </c>
      <c r="BJ368" s="201" t="s">
        <v>143</v>
      </c>
      <c r="BK368" s="201" t="s">
        <v>143</v>
      </c>
      <c r="BL368" s="181">
        <f t="shared" si="123"/>
        <v>25188.652402599455</v>
      </c>
      <c r="BO368" s="57">
        <v>2</v>
      </c>
      <c r="BP368" s="57" t="s">
        <v>39</v>
      </c>
      <c r="BQ368" s="167">
        <f t="shared" ref="BQ368:BQ384" si="133">BL368</f>
        <v>25188.652402599455</v>
      </c>
      <c r="BR368" s="151">
        <f t="shared" si="124"/>
        <v>0.99944343056493812</v>
      </c>
      <c r="BS368" s="181">
        <f>BQ367*BR367</f>
        <v>27151.910006114704</v>
      </c>
      <c r="BT368" s="165">
        <f t="shared" si="125"/>
        <v>-1453.6829336400001</v>
      </c>
      <c r="BU368" s="201" t="s">
        <v>143</v>
      </c>
      <c r="BV368" s="201" t="s">
        <v>143</v>
      </c>
      <c r="BW368" s="201" t="s">
        <v>143</v>
      </c>
      <c r="BX368" s="201" t="s">
        <v>143</v>
      </c>
      <c r="BY368" s="181">
        <f t="shared" si="126"/>
        <v>25698.227072474703</v>
      </c>
      <c r="BZ368" s="226"/>
      <c r="CA368" s="66"/>
      <c r="CB368" s="57">
        <v>3</v>
      </c>
      <c r="CC368" s="57" t="s">
        <v>40</v>
      </c>
      <c r="CD368" s="165">
        <f>Input!I13</f>
        <v>21915</v>
      </c>
      <c r="CE368" s="165">
        <f>BY369</f>
        <v>24578.572368901769</v>
      </c>
      <c r="CF368" s="223">
        <f t="shared" si="111"/>
        <v>0.12154106177968371</v>
      </c>
      <c r="CG368" s="101"/>
      <c r="CH368" s="101"/>
    </row>
    <row r="369" spans="3:86" x14ac:dyDescent="0.25">
      <c r="C369" s="57">
        <f t="shared" si="106"/>
        <v>3</v>
      </c>
      <c r="D369" s="57" t="str">
        <f t="shared" si="106"/>
        <v>10-14</v>
      </c>
      <c r="E369" s="167">
        <f>Input!I13</f>
        <v>21915</v>
      </c>
      <c r="F369" s="151">
        <f t="shared" si="107"/>
        <v>0.99798030341855337</v>
      </c>
      <c r="G369" s="181">
        <f t="shared" si="127"/>
        <v>23097.137680355721</v>
      </c>
      <c r="H369" s="165">
        <f t="shared" si="128"/>
        <v>-570.14876318000006</v>
      </c>
      <c r="I369" s="221">
        <f t="shared" ref="I369:I376" si="134">L88</f>
        <v>5.4149999999999997E-2</v>
      </c>
      <c r="J369" s="221">
        <f>I369</f>
        <v>5.4149999999999997E-2</v>
      </c>
      <c r="K369" s="165">
        <f t="shared" ref="K369:K376" si="135">ROUND((D280+K280)/2*I369,0)</f>
        <v>1149</v>
      </c>
      <c r="L369" s="181">
        <f t="shared" si="112"/>
        <v>22526.98891717572</v>
      </c>
      <c r="O369" s="57">
        <v>3</v>
      </c>
      <c r="P369" s="57" t="s">
        <v>40</v>
      </c>
      <c r="Q369" s="167">
        <f t="shared" si="129"/>
        <v>22526.98891717572</v>
      </c>
      <c r="R369" s="151">
        <f t="shared" si="113"/>
        <v>0.99798030341855337</v>
      </c>
      <c r="S369" s="181">
        <f>Q368*R368</f>
        <v>24439.713218434707</v>
      </c>
      <c r="T369" s="165">
        <f t="shared" si="114"/>
        <v>-566.55456963000006</v>
      </c>
      <c r="U369" s="216">
        <v>5.4149999999999997E-2</v>
      </c>
      <c r="V369" s="216">
        <v>5.4149999999999997E-2</v>
      </c>
      <c r="W369" s="227">
        <f>AVERAGE(U369:V369)</f>
        <v>5.4149999999999997E-2</v>
      </c>
      <c r="X369" s="165">
        <f t="shared" ref="X369:X376" si="136">ROUND((O280+W280)/2*W369,0)</f>
        <v>1198</v>
      </c>
      <c r="Y369" s="181">
        <f t="shared" si="115"/>
        <v>23873.158648804707</v>
      </c>
      <c r="Z369" s="229"/>
      <c r="AB369" s="57">
        <v>3</v>
      </c>
      <c r="AC369" s="57" t="s">
        <v>40</v>
      </c>
      <c r="AD369" s="167">
        <f t="shared" si="130"/>
        <v>23873.158648804707</v>
      </c>
      <c r="AE369" s="151">
        <f t="shared" si="116"/>
        <v>0.99798030341855337</v>
      </c>
      <c r="AF369" s="181">
        <f>AD368*AE368</f>
        <v>24056.621666815347</v>
      </c>
      <c r="AG369" s="165">
        <f t="shared" si="117"/>
        <v>-570.39789665000001</v>
      </c>
      <c r="AH369" s="216">
        <v>5.4149999999999997E-2</v>
      </c>
      <c r="AI369" s="216">
        <v>5.4149999999999997E-2</v>
      </c>
      <c r="AJ369" s="227">
        <f>AVERAGE(AH369:AI369)</f>
        <v>5.4149999999999997E-2</v>
      </c>
      <c r="AK369" s="165">
        <f t="shared" ref="AK369:AK376" si="137">ROUND((AB280+AJ280)/2*AJ369,0)</f>
        <v>1221</v>
      </c>
      <c r="AL369" s="181">
        <f t="shared" si="118"/>
        <v>23486.223770165347</v>
      </c>
      <c r="AM369" s="66"/>
      <c r="AN369" s="101"/>
      <c r="AO369" s="57">
        <v>3</v>
      </c>
      <c r="AP369" s="57" t="s">
        <v>40</v>
      </c>
      <c r="AQ369" s="167">
        <f t="shared" si="131"/>
        <v>23486.223770165347</v>
      </c>
      <c r="AR369" s="151">
        <f t="shared" si="109"/>
        <v>0.99798030341855337</v>
      </c>
      <c r="AS369" s="181">
        <f>AQ368*AR368</f>
        <v>24240.705638954572</v>
      </c>
      <c r="AT369" s="165">
        <f t="shared" si="119"/>
        <v>-565.85038900000006</v>
      </c>
      <c r="AU369" s="216">
        <v>5.4149999999999997E-2</v>
      </c>
      <c r="AV369" s="216">
        <v>5.4149999999999997E-2</v>
      </c>
      <c r="AW369" s="227">
        <f>AVERAGE(AU369:AV369)</f>
        <v>5.4149999999999997E-2</v>
      </c>
      <c r="AX369" s="165">
        <f t="shared" ref="AX369:AX376" si="138">ROUND((AO280+AW280)/2*AW369,0)</f>
        <v>1218</v>
      </c>
      <c r="AY369" s="181">
        <f t="shared" si="120"/>
        <v>23674.855249954573</v>
      </c>
      <c r="AZ369" s="100"/>
      <c r="BA369" s="226"/>
      <c r="BB369" s="57">
        <v>3</v>
      </c>
      <c r="BC369" s="57" t="s">
        <v>40</v>
      </c>
      <c r="BD369" s="167">
        <f t="shared" si="132"/>
        <v>23674.855249954573</v>
      </c>
      <c r="BE369" s="151">
        <f t="shared" si="121"/>
        <v>0.99798030341855337</v>
      </c>
      <c r="BF369" s="181">
        <f>BD368*BE368</f>
        <v>24625.347953045646</v>
      </c>
      <c r="BG369" s="165">
        <f t="shared" si="122"/>
        <v>-583.15662359999999</v>
      </c>
      <c r="BH369" s="216">
        <v>5.4149999999999997E-2</v>
      </c>
      <c r="BI369" s="216">
        <v>5.4149999999999997E-2</v>
      </c>
      <c r="BJ369" s="227">
        <f>AVERAGE(BH369:BI369)</f>
        <v>5.4149999999999997E-2</v>
      </c>
      <c r="BK369" s="165">
        <f t="shared" ref="BK369:BK376" si="139">ROUND((BB280+BJ280)/2*BJ369,0)</f>
        <v>1232</v>
      </c>
      <c r="BL369" s="181">
        <f t="shared" si="123"/>
        <v>24042.191329445646</v>
      </c>
      <c r="BO369" s="57">
        <v>3</v>
      </c>
      <c r="BP369" s="57" t="s">
        <v>40</v>
      </c>
      <c r="BQ369" s="167">
        <f t="shared" si="133"/>
        <v>24042.191329445646</v>
      </c>
      <c r="BR369" s="151">
        <f t="shared" si="124"/>
        <v>0.99798030341855337</v>
      </c>
      <c r="BS369" s="181">
        <f>BQ368*BR368</f>
        <v>25174.63316856177</v>
      </c>
      <c r="BT369" s="165">
        <f t="shared" si="125"/>
        <v>-596.06079966000004</v>
      </c>
      <c r="BU369" s="216">
        <v>5.4149999999999997E-2</v>
      </c>
      <c r="BV369" s="216">
        <v>5.4149999999999997E-2</v>
      </c>
      <c r="BW369" s="227">
        <f>AVERAGE(BU369:BV369)</f>
        <v>5.4149999999999997E-2</v>
      </c>
      <c r="BX369" s="165">
        <f t="shared" ref="BX369:BX376" si="140">ROUND((BO280+BW280)/2*BW369,0)</f>
        <v>1255</v>
      </c>
      <c r="BY369" s="181">
        <f t="shared" si="126"/>
        <v>24578.572368901769</v>
      </c>
      <c r="BZ369" s="226"/>
      <c r="CA369" s="66"/>
      <c r="CB369" s="57">
        <v>4</v>
      </c>
      <c r="CC369" s="57" t="s">
        <v>80</v>
      </c>
      <c r="CD369" s="165">
        <f>Input!I14</f>
        <v>22737</v>
      </c>
      <c r="CE369" s="165">
        <f t="shared" si="110"/>
        <v>25222.032351407081</v>
      </c>
      <c r="CF369" s="223">
        <f t="shared" si="111"/>
        <v>0.10929464535370016</v>
      </c>
      <c r="CG369" s="101"/>
      <c r="CH369" s="136"/>
    </row>
    <row r="370" spans="3:86" x14ac:dyDescent="0.25">
      <c r="C370" s="57">
        <f t="shared" si="106"/>
        <v>4</v>
      </c>
      <c r="D370" s="57" t="str">
        <f t="shared" si="106"/>
        <v xml:space="preserve">15-19 </v>
      </c>
      <c r="E370" s="167">
        <f>Input!I14</f>
        <v>22737</v>
      </c>
      <c r="F370" s="151">
        <f t="shared" si="107"/>
        <v>0.99500321460197572</v>
      </c>
      <c r="G370" s="181">
        <f t="shared" si="127"/>
        <v>21870.738349417596</v>
      </c>
      <c r="H370" s="165">
        <f t="shared" si="128"/>
        <v>1251.7679728400001</v>
      </c>
      <c r="I370" s="221">
        <f t="shared" si="134"/>
        <v>0.1696</v>
      </c>
      <c r="J370" s="221">
        <f t="shared" ref="J370:J376" si="141">I370</f>
        <v>0.1696</v>
      </c>
      <c r="K370" s="165">
        <f t="shared" si="135"/>
        <v>3785</v>
      </c>
      <c r="L370" s="181">
        <f t="shared" si="112"/>
        <v>23122.506322257595</v>
      </c>
      <c r="O370" s="57">
        <v>4</v>
      </c>
      <c r="P370" s="57" t="s">
        <v>80</v>
      </c>
      <c r="Q370" s="167">
        <f t="shared" si="129"/>
        <v>23122.506322257595</v>
      </c>
      <c r="R370" s="151">
        <f t="shared" si="113"/>
        <v>0.99500321460197572</v>
      </c>
      <c r="S370" s="181">
        <f t="shared" ref="S370:S383" si="142">Q369*R369</f>
        <v>22481.491234669415</v>
      </c>
      <c r="T370" s="165">
        <f t="shared" si="114"/>
        <v>1195.50186476</v>
      </c>
      <c r="U370" s="216">
        <v>0.1696</v>
      </c>
      <c r="V370" s="216">
        <v>0.1696</v>
      </c>
      <c r="W370" s="227">
        <f t="shared" ref="W370:W376" si="143">AVERAGE(U370:V370)</f>
        <v>0.1696</v>
      </c>
      <c r="X370" s="165">
        <f t="shared" si="136"/>
        <v>3906</v>
      </c>
      <c r="Y370" s="181">
        <f t="shared" si="115"/>
        <v>23676.993099429415</v>
      </c>
      <c r="Z370" s="229"/>
      <c r="AB370" s="57">
        <v>4</v>
      </c>
      <c r="AC370" s="57" t="s">
        <v>80</v>
      </c>
      <c r="AD370" s="167">
        <f t="shared" si="130"/>
        <v>23676.993099429415</v>
      </c>
      <c r="AE370" s="151">
        <f t="shared" si="116"/>
        <v>0.99500321460197572</v>
      </c>
      <c r="AF370" s="181">
        <f t="shared" ref="AF370:AF383" si="144">AD369*AE369</f>
        <v>23824.942111893382</v>
      </c>
      <c r="AG370" s="165">
        <f t="shared" si="117"/>
        <v>1190.3620891400001</v>
      </c>
      <c r="AH370" s="216">
        <v>0.1696</v>
      </c>
      <c r="AI370" s="216">
        <v>0.1696</v>
      </c>
      <c r="AJ370" s="227">
        <f t="shared" ref="AJ370:AJ376" si="145">AVERAGE(AH370:AI370)</f>
        <v>0.1696</v>
      </c>
      <c r="AK370" s="165">
        <f t="shared" si="137"/>
        <v>4054</v>
      </c>
      <c r="AL370" s="181">
        <f t="shared" si="118"/>
        <v>25015.304201033381</v>
      </c>
      <c r="AM370" s="66"/>
      <c r="AN370" s="101"/>
      <c r="AO370" s="57">
        <v>4</v>
      </c>
      <c r="AP370" s="57" t="s">
        <v>80</v>
      </c>
      <c r="AQ370" s="167">
        <f t="shared" si="131"/>
        <v>25015.304201033381</v>
      </c>
      <c r="AR370" s="151">
        <f t="shared" si="109"/>
        <v>0.99500321460197572</v>
      </c>
      <c r="AS370" s="181">
        <f t="shared" ref="AS370:AS383" si="146">AQ369*AR369</f>
        <v>23438.788724305654</v>
      </c>
      <c r="AT370" s="165">
        <f t="shared" si="119"/>
        <v>1199.8826284199999</v>
      </c>
      <c r="AU370" s="216">
        <v>0.1696</v>
      </c>
      <c r="AV370" s="216">
        <v>0.1696</v>
      </c>
      <c r="AW370" s="227">
        <f t="shared" ref="AW370:AW376" si="147">AVERAGE(AU370:AV370)</f>
        <v>0.1696</v>
      </c>
      <c r="AX370" s="165">
        <f t="shared" si="138"/>
        <v>4127</v>
      </c>
      <c r="AY370" s="181">
        <f t="shared" si="120"/>
        <v>24638.671352725654</v>
      </c>
      <c r="AZ370" s="100"/>
      <c r="BA370" s="226"/>
      <c r="BB370" s="57">
        <v>4</v>
      </c>
      <c r="BC370" s="57" t="s">
        <v>80</v>
      </c>
      <c r="BD370" s="167">
        <f t="shared" si="132"/>
        <v>24638.671352725654</v>
      </c>
      <c r="BE370" s="151">
        <f t="shared" si="121"/>
        <v>0.99500321460197572</v>
      </c>
      <c r="BF370" s="181">
        <f t="shared" ref="BF370:BF383" si="148">BD369*BE369</f>
        <v>23627.039225739994</v>
      </c>
      <c r="BG370" s="165">
        <f t="shared" si="122"/>
        <v>1191.7367047600001</v>
      </c>
      <c r="BH370" s="216">
        <v>0.1696</v>
      </c>
      <c r="BI370" s="216">
        <v>0.1696</v>
      </c>
      <c r="BJ370" s="227">
        <f t="shared" ref="BJ370:BJ376" si="149">AVERAGE(BH370:BI370)</f>
        <v>0.1696</v>
      </c>
      <c r="BK370" s="165">
        <f t="shared" si="139"/>
        <v>4115</v>
      </c>
      <c r="BL370" s="181">
        <f t="shared" si="123"/>
        <v>24818.775930499993</v>
      </c>
      <c r="BO370" s="57">
        <v>4</v>
      </c>
      <c r="BP370" s="57" t="s">
        <v>80</v>
      </c>
      <c r="BQ370" s="167">
        <f t="shared" si="133"/>
        <v>24818.775930499993</v>
      </c>
      <c r="BR370" s="151">
        <f t="shared" si="124"/>
        <v>0.99500321460197572</v>
      </c>
      <c r="BS370" s="181">
        <f t="shared" ref="BS370:BS383" si="150">BQ369*BR369</f>
        <v>23993.63339780708</v>
      </c>
      <c r="BT370" s="165">
        <f t="shared" si="125"/>
        <v>1228.3989535999999</v>
      </c>
      <c r="BU370" s="216">
        <v>0.1696</v>
      </c>
      <c r="BV370" s="216">
        <v>0.1696</v>
      </c>
      <c r="BW370" s="227">
        <f t="shared" ref="BW370:BW376" si="151">AVERAGE(BU370:BV370)</f>
        <v>0.1696</v>
      </c>
      <c r="BX370" s="165">
        <f t="shared" si="140"/>
        <v>4164</v>
      </c>
      <c r="BY370" s="181">
        <f t="shared" si="126"/>
        <v>25222.032351407081</v>
      </c>
      <c r="BZ370" s="226"/>
      <c r="CA370" s="66"/>
      <c r="CB370" s="57">
        <v>5</v>
      </c>
      <c r="CC370" s="57" t="s">
        <v>81</v>
      </c>
      <c r="CD370" s="165">
        <f>Input!I15</f>
        <v>25555</v>
      </c>
      <c r="CE370" s="165">
        <f t="shared" si="110"/>
        <v>29382.314393533634</v>
      </c>
      <c r="CF370" s="223">
        <f t="shared" si="111"/>
        <v>0.14976773208897021</v>
      </c>
      <c r="CG370" s="101"/>
      <c r="CH370" s="136"/>
    </row>
    <row r="371" spans="3:86" x14ac:dyDescent="0.25">
      <c r="C371" s="57">
        <f t="shared" si="106"/>
        <v>5</v>
      </c>
      <c r="D371" s="57" t="str">
        <f t="shared" si="106"/>
        <v xml:space="preserve">20-24 </v>
      </c>
      <c r="E371" s="167">
        <f>Input!I15</f>
        <v>25555</v>
      </c>
      <c r="F371" s="151">
        <f t="shared" si="107"/>
        <v>0.99334649337138436</v>
      </c>
      <c r="G371" s="181">
        <f t="shared" si="127"/>
        <v>22623.388090405122</v>
      </c>
      <c r="H371" s="165">
        <f t="shared" si="128"/>
        <v>4547.0924198399998</v>
      </c>
      <c r="I371" s="221">
        <f t="shared" si="134"/>
        <v>0.23199999999999998</v>
      </c>
      <c r="J371" s="221">
        <f t="shared" si="141"/>
        <v>0.23199999999999998</v>
      </c>
      <c r="K371" s="165">
        <f t="shared" si="135"/>
        <v>6224</v>
      </c>
      <c r="L371" s="181">
        <f t="shared" si="112"/>
        <v>27170.480510245121</v>
      </c>
      <c r="N371" s="195"/>
      <c r="O371" s="57">
        <v>5</v>
      </c>
      <c r="P371" s="57" t="s">
        <v>81</v>
      </c>
      <c r="Q371" s="167">
        <f t="shared" si="129"/>
        <v>27170.480510245121</v>
      </c>
      <c r="R371" s="151">
        <f t="shared" si="113"/>
        <v>0.99334649337138436</v>
      </c>
      <c r="S371" s="181">
        <f t="shared" si="142"/>
        <v>23006.968120300815</v>
      </c>
      <c r="T371" s="165">
        <f t="shared" si="114"/>
        <v>4821.1921709199996</v>
      </c>
      <c r="U371" s="216">
        <v>0.23199999999999998</v>
      </c>
      <c r="V371" s="216">
        <v>0.23199999999999998</v>
      </c>
      <c r="W371" s="227">
        <f t="shared" si="143"/>
        <v>0.23199999999999998</v>
      </c>
      <c r="X371" s="165">
        <f t="shared" si="136"/>
        <v>6508</v>
      </c>
      <c r="Y371" s="181">
        <f t="shared" si="115"/>
        <v>27828.160291220815</v>
      </c>
      <c r="Z371" s="229"/>
      <c r="AB371" s="57">
        <v>5</v>
      </c>
      <c r="AC371" s="57" t="s">
        <v>81</v>
      </c>
      <c r="AD371" s="167">
        <f t="shared" si="130"/>
        <v>27828.160291220815</v>
      </c>
      <c r="AE371" s="151">
        <f t="shared" si="116"/>
        <v>0.99334649337138436</v>
      </c>
      <c r="AF371" s="181">
        <f t="shared" si="144"/>
        <v>23558.684246041066</v>
      </c>
      <c r="AG371" s="165">
        <f t="shared" si="117"/>
        <v>4665.0152117600001</v>
      </c>
      <c r="AH371" s="216">
        <v>0.23199999999999998</v>
      </c>
      <c r="AI371" s="216">
        <v>0.23199999999999998</v>
      </c>
      <c r="AJ371" s="227">
        <f t="shared" si="145"/>
        <v>0.23199999999999998</v>
      </c>
      <c r="AK371" s="165">
        <f t="shared" si="137"/>
        <v>6684</v>
      </c>
      <c r="AL371" s="181">
        <f t="shared" si="118"/>
        <v>28223.699457801067</v>
      </c>
      <c r="AM371" s="66"/>
      <c r="AN371" s="101"/>
      <c r="AO371" s="57">
        <v>5</v>
      </c>
      <c r="AP371" s="57" t="s">
        <v>81</v>
      </c>
      <c r="AQ371" s="167">
        <f t="shared" si="131"/>
        <v>28223.699457801067</v>
      </c>
      <c r="AR371" s="151">
        <f t="shared" si="109"/>
        <v>0.99334649337138436</v>
      </c>
      <c r="AS371" s="181">
        <f t="shared" si="146"/>
        <v>24890.308094274522</v>
      </c>
      <c r="AT371" s="165">
        <f t="shared" si="119"/>
        <v>4661.0209847599999</v>
      </c>
      <c r="AU371" s="216">
        <v>0.23199999999999998</v>
      </c>
      <c r="AV371" s="216">
        <v>0.23199999999999998</v>
      </c>
      <c r="AW371" s="227">
        <f t="shared" si="147"/>
        <v>0.23199999999999998</v>
      </c>
      <c r="AX371" s="165">
        <f t="shared" si="138"/>
        <v>6869</v>
      </c>
      <c r="AY371" s="181">
        <f t="shared" si="120"/>
        <v>29551.32907903452</v>
      </c>
      <c r="AZ371" s="100"/>
      <c r="BA371" s="226"/>
      <c r="BB371" s="57">
        <v>5</v>
      </c>
      <c r="BC371" s="57" t="s">
        <v>81</v>
      </c>
      <c r="BD371" s="167">
        <f t="shared" si="132"/>
        <v>29551.32907903452</v>
      </c>
      <c r="BE371" s="151">
        <f t="shared" si="121"/>
        <v>0.99334649337138436</v>
      </c>
      <c r="BF371" s="181">
        <f t="shared" si="148"/>
        <v>24515.557199483635</v>
      </c>
      <c r="BG371" s="165">
        <f t="shared" si="122"/>
        <v>4708.0261214800003</v>
      </c>
      <c r="BH371" s="216">
        <v>0.23199999999999998</v>
      </c>
      <c r="BI371" s="216">
        <v>0.23199999999999998</v>
      </c>
      <c r="BJ371" s="227">
        <f t="shared" si="149"/>
        <v>0.23199999999999998</v>
      </c>
      <c r="BK371" s="165">
        <f t="shared" si="139"/>
        <v>6977</v>
      </c>
      <c r="BL371" s="181">
        <f t="shared" si="123"/>
        <v>29223.583320963637</v>
      </c>
      <c r="BO371" s="57">
        <v>5</v>
      </c>
      <c r="BP371" s="57" t="s">
        <v>81</v>
      </c>
      <c r="BQ371" s="167">
        <f t="shared" si="133"/>
        <v>29223.583320963637</v>
      </c>
      <c r="BR371" s="151">
        <f t="shared" si="124"/>
        <v>0.99334649337138436</v>
      </c>
      <c r="BS371" s="181">
        <f t="shared" si="150"/>
        <v>24694.761833333632</v>
      </c>
      <c r="BT371" s="165">
        <f t="shared" si="125"/>
        <v>4687.5525601999998</v>
      </c>
      <c r="BU371" s="216">
        <v>0.23199999999999998</v>
      </c>
      <c r="BV371" s="216">
        <v>0.23199999999999998</v>
      </c>
      <c r="BW371" s="227">
        <f t="shared" si="151"/>
        <v>0.23199999999999998</v>
      </c>
      <c r="BX371" s="165">
        <f t="shared" si="140"/>
        <v>6964</v>
      </c>
      <c r="BY371" s="181">
        <f t="shared" si="126"/>
        <v>29382.314393533634</v>
      </c>
      <c r="BZ371" s="226"/>
      <c r="CA371" s="66"/>
      <c r="CB371" s="57">
        <v>6</v>
      </c>
      <c r="CC371" s="57" t="s">
        <v>82</v>
      </c>
      <c r="CD371" s="165">
        <f>Input!I16</f>
        <v>29422</v>
      </c>
      <c r="CE371" s="165">
        <f t="shared" si="110"/>
        <v>32219.777271335704</v>
      </c>
      <c r="CF371" s="223">
        <f t="shared" si="111"/>
        <v>9.5091335440680588E-2</v>
      </c>
      <c r="CG371" s="101"/>
      <c r="CH371" s="136"/>
    </row>
    <row r="372" spans="3:86" x14ac:dyDescent="0.25">
      <c r="C372" s="57">
        <f t="shared" si="106"/>
        <v>6</v>
      </c>
      <c r="D372" s="57" t="str">
        <f t="shared" si="106"/>
        <v xml:space="preserve">25-29 </v>
      </c>
      <c r="E372" s="167">
        <f>Input!I16</f>
        <v>29422</v>
      </c>
      <c r="F372" s="151">
        <f t="shared" si="107"/>
        <v>0.9929864054394606</v>
      </c>
      <c r="G372" s="181">
        <f t="shared" si="127"/>
        <v>25384.969638105729</v>
      </c>
      <c r="H372" s="165">
        <f t="shared" si="128"/>
        <v>2832.1515273899995</v>
      </c>
      <c r="I372" s="221">
        <f t="shared" si="134"/>
        <v>0.24249999999999999</v>
      </c>
      <c r="J372" s="221">
        <f t="shared" si="141"/>
        <v>0.24249999999999999</v>
      </c>
      <c r="K372" s="165">
        <f t="shared" si="135"/>
        <v>7350</v>
      </c>
      <c r="L372" s="181">
        <f t="shared" si="112"/>
        <v>28217.12116549573</v>
      </c>
      <c r="N372" s="214"/>
      <c r="O372" s="57">
        <v>6</v>
      </c>
      <c r="P372" s="57" t="s">
        <v>82</v>
      </c>
      <c r="Q372" s="167">
        <f t="shared" si="129"/>
        <v>28217.12116549573</v>
      </c>
      <c r="R372" s="151">
        <f t="shared" si="113"/>
        <v>0.9929864054394606</v>
      </c>
      <c r="S372" s="181">
        <f t="shared" si="142"/>
        <v>26989.701538067533</v>
      </c>
      <c r="T372" s="165">
        <f t="shared" si="114"/>
        <v>3048.2703610699996</v>
      </c>
      <c r="U372" s="216">
        <v>0.24249999999999999</v>
      </c>
      <c r="V372" s="216">
        <v>0.24249999999999999</v>
      </c>
      <c r="W372" s="227">
        <f t="shared" si="143"/>
        <v>0.24249999999999999</v>
      </c>
      <c r="X372" s="165">
        <f t="shared" si="136"/>
        <v>7242</v>
      </c>
      <c r="Y372" s="181">
        <f t="shared" si="115"/>
        <v>30037.971899137534</v>
      </c>
      <c r="Z372" s="229"/>
      <c r="AB372" s="57">
        <v>6</v>
      </c>
      <c r="AC372" s="57" t="s">
        <v>82</v>
      </c>
      <c r="AD372" s="167">
        <f t="shared" si="130"/>
        <v>30037.971899137534</v>
      </c>
      <c r="AE372" s="151">
        <f t="shared" si="116"/>
        <v>0.9929864054394606</v>
      </c>
      <c r="AF372" s="181">
        <f t="shared" si="144"/>
        <v>27643.005442260997</v>
      </c>
      <c r="AG372" s="165">
        <f t="shared" si="117"/>
        <v>3238.4570756799999</v>
      </c>
      <c r="AH372" s="216">
        <v>0.24249999999999999</v>
      </c>
      <c r="AI372" s="216">
        <v>0.24249999999999999</v>
      </c>
      <c r="AJ372" s="227">
        <f t="shared" si="145"/>
        <v>0.24249999999999999</v>
      </c>
      <c r="AK372" s="165">
        <f t="shared" si="137"/>
        <v>7577</v>
      </c>
      <c r="AL372" s="181">
        <f t="shared" si="118"/>
        <v>30881.462517940996</v>
      </c>
      <c r="AM372" s="66"/>
      <c r="AN372" s="101"/>
      <c r="AO372" s="57">
        <v>6</v>
      </c>
      <c r="AP372" s="57" t="s">
        <v>82</v>
      </c>
      <c r="AQ372" s="167">
        <f t="shared" si="131"/>
        <v>30881.462517940996</v>
      </c>
      <c r="AR372" s="151">
        <f t="shared" si="109"/>
        <v>0.9929864054394606</v>
      </c>
      <c r="AS372" s="181">
        <f t="shared" si="146"/>
        <v>28035.912886374532</v>
      </c>
      <c r="AT372" s="165">
        <f t="shared" si="119"/>
        <v>3147.0474410899997</v>
      </c>
      <c r="AU372" s="216">
        <v>0.24249999999999999</v>
      </c>
      <c r="AV372" s="216">
        <v>0.24249999999999999</v>
      </c>
      <c r="AW372" s="227">
        <f t="shared" si="147"/>
        <v>0.24249999999999999</v>
      </c>
      <c r="AX372" s="165">
        <f t="shared" si="138"/>
        <v>7769</v>
      </c>
      <c r="AY372" s="181">
        <f t="shared" si="120"/>
        <v>31182.960327464531</v>
      </c>
      <c r="AZ372" s="100"/>
      <c r="BA372" s="226"/>
      <c r="BB372" s="57">
        <v>6</v>
      </c>
      <c r="BC372" s="57" t="s">
        <v>82</v>
      </c>
      <c r="BD372" s="167">
        <f t="shared" si="132"/>
        <v>31182.960327464531</v>
      </c>
      <c r="BE372" s="151">
        <f t="shared" si="121"/>
        <v>0.9929864054394606</v>
      </c>
      <c r="BF372" s="181">
        <f t="shared" si="148"/>
        <v>29354.709115122761</v>
      </c>
      <c r="BG372" s="165">
        <f t="shared" si="122"/>
        <v>3153.0371020599996</v>
      </c>
      <c r="BH372" s="216">
        <v>0.24249999999999999</v>
      </c>
      <c r="BI372" s="216">
        <v>0.24249999999999999</v>
      </c>
      <c r="BJ372" s="227">
        <f t="shared" si="149"/>
        <v>0.24249999999999999</v>
      </c>
      <c r="BK372" s="165">
        <f t="shared" si="139"/>
        <v>7955</v>
      </c>
      <c r="BL372" s="181">
        <f t="shared" si="123"/>
        <v>32507.746217182761</v>
      </c>
      <c r="BO372" s="57">
        <v>6</v>
      </c>
      <c r="BP372" s="57" t="s">
        <v>82</v>
      </c>
      <c r="BQ372" s="167">
        <f t="shared" si="133"/>
        <v>32507.746217182761</v>
      </c>
      <c r="BR372" s="151">
        <f t="shared" si="124"/>
        <v>0.9929864054394606</v>
      </c>
      <c r="BS372" s="181">
        <f t="shared" si="150"/>
        <v>29029.144015625705</v>
      </c>
      <c r="BT372" s="165">
        <f t="shared" si="125"/>
        <v>3190.6332557099995</v>
      </c>
      <c r="BU372" s="216">
        <v>0.24249999999999999</v>
      </c>
      <c r="BV372" s="216">
        <v>0.24249999999999999</v>
      </c>
      <c r="BW372" s="227">
        <f t="shared" si="151"/>
        <v>0.24249999999999999</v>
      </c>
      <c r="BX372" s="165">
        <f t="shared" si="140"/>
        <v>8073</v>
      </c>
      <c r="BY372" s="181">
        <f t="shared" si="126"/>
        <v>32219.777271335704</v>
      </c>
      <c r="BZ372" s="226"/>
      <c r="CA372" s="66"/>
      <c r="CB372" s="57">
        <v>7</v>
      </c>
      <c r="CC372" s="57" t="s">
        <v>83</v>
      </c>
      <c r="CD372" s="165">
        <f>Input!I17</f>
        <v>28134</v>
      </c>
      <c r="CE372" s="165">
        <f t="shared" si="110"/>
        <v>31496.840265778534</v>
      </c>
      <c r="CF372" s="223">
        <f t="shared" si="111"/>
        <v>0.11952940448491269</v>
      </c>
      <c r="CG372" s="101"/>
      <c r="CH372" s="136"/>
    </row>
    <row r="373" spans="3:86" x14ac:dyDescent="0.25">
      <c r="C373" s="57">
        <f t="shared" si="106"/>
        <v>7</v>
      </c>
      <c r="D373" s="57" t="str">
        <f t="shared" si="106"/>
        <v xml:space="preserve">30-34 </v>
      </c>
      <c r="E373" s="167">
        <f>Input!I17</f>
        <v>28134</v>
      </c>
      <c r="F373" s="151">
        <f t="shared" si="107"/>
        <v>0.9920654989022919</v>
      </c>
      <c r="G373" s="181">
        <f t="shared" si="127"/>
        <v>29215.646020839809</v>
      </c>
      <c r="H373" s="165">
        <f t="shared" si="128"/>
        <v>-639.37614000000008</v>
      </c>
      <c r="I373" s="221">
        <f t="shared" si="134"/>
        <v>0.19985000000000003</v>
      </c>
      <c r="J373" s="221">
        <f t="shared" si="141"/>
        <v>0.19985000000000003</v>
      </c>
      <c r="K373" s="165">
        <f t="shared" si="135"/>
        <v>5974</v>
      </c>
      <c r="L373" s="181">
        <f t="shared" si="112"/>
        <v>28576.269880839809</v>
      </c>
      <c r="O373" s="57">
        <v>7</v>
      </c>
      <c r="P373" s="57" t="s">
        <v>83</v>
      </c>
      <c r="Q373" s="167">
        <f t="shared" si="129"/>
        <v>28576.269880839809</v>
      </c>
      <c r="R373" s="151">
        <f t="shared" si="113"/>
        <v>0.9920654989022919</v>
      </c>
      <c r="S373" s="181">
        <f t="shared" si="142"/>
        <v>28019.217717975327</v>
      </c>
      <c r="T373" s="165">
        <f t="shared" si="114"/>
        <v>-697.57148916000006</v>
      </c>
      <c r="U373" s="216">
        <v>0.19985000000000003</v>
      </c>
      <c r="V373" s="216">
        <v>0.19985000000000003</v>
      </c>
      <c r="W373" s="227">
        <f t="shared" si="143"/>
        <v>0.19985000000000003</v>
      </c>
      <c r="X373" s="165">
        <f t="shared" si="136"/>
        <v>5787</v>
      </c>
      <c r="Y373" s="181">
        <f t="shared" si="115"/>
        <v>27321.646228815327</v>
      </c>
      <c r="Z373" s="229"/>
      <c r="AB373" s="57">
        <v>7</v>
      </c>
      <c r="AC373" s="57" t="s">
        <v>83</v>
      </c>
      <c r="AD373" s="167">
        <f t="shared" si="130"/>
        <v>27321.646228815327</v>
      </c>
      <c r="AE373" s="151">
        <f t="shared" si="116"/>
        <v>0.9920654989022919</v>
      </c>
      <c r="AF373" s="181">
        <f t="shared" si="144"/>
        <v>29827.297742816107</v>
      </c>
      <c r="AG373" s="165">
        <f t="shared" si="117"/>
        <v>-753.50540460000002</v>
      </c>
      <c r="AH373" s="216">
        <v>0.19985000000000003</v>
      </c>
      <c r="AI373" s="216">
        <v>0.19985000000000003</v>
      </c>
      <c r="AJ373" s="227">
        <f t="shared" si="145"/>
        <v>0.19985000000000003</v>
      </c>
      <c r="AK373" s="165">
        <f t="shared" si="137"/>
        <v>5682</v>
      </c>
      <c r="AL373" s="181">
        <f t="shared" si="118"/>
        <v>29073.792338216106</v>
      </c>
      <c r="AM373" s="66"/>
      <c r="AN373" s="101"/>
      <c r="AO373" s="57">
        <v>7</v>
      </c>
      <c r="AP373" s="57" t="s">
        <v>83</v>
      </c>
      <c r="AQ373" s="167">
        <f t="shared" si="131"/>
        <v>29073.792338216106</v>
      </c>
      <c r="AR373" s="151">
        <f t="shared" si="109"/>
        <v>0.9920654989022919</v>
      </c>
      <c r="AS373" s="181">
        <f t="shared" si="146"/>
        <v>30664.872460403665</v>
      </c>
      <c r="AT373" s="165">
        <f t="shared" si="119"/>
        <v>-800.14023960000009</v>
      </c>
      <c r="AU373" s="216">
        <v>0.19985000000000003</v>
      </c>
      <c r="AV373" s="216">
        <v>0.19985000000000003</v>
      </c>
      <c r="AW373" s="227">
        <f t="shared" si="147"/>
        <v>0.19985000000000003</v>
      </c>
      <c r="AX373" s="165">
        <f t="shared" si="138"/>
        <v>5942</v>
      </c>
      <c r="AY373" s="181">
        <f t="shared" si="120"/>
        <v>29864.732220803664</v>
      </c>
      <c r="AZ373" s="100"/>
      <c r="BA373" s="226"/>
      <c r="BB373" s="57">
        <v>7</v>
      </c>
      <c r="BC373" s="57" t="s">
        <v>83</v>
      </c>
      <c r="BD373" s="167">
        <f t="shared" si="132"/>
        <v>29864.732220803664</v>
      </c>
      <c r="BE373" s="151">
        <f t="shared" si="121"/>
        <v>0.9920654989022919</v>
      </c>
      <c r="BF373" s="181">
        <f t="shared" si="148"/>
        <v>30964.255686530309</v>
      </c>
      <c r="BG373" s="165">
        <f t="shared" si="122"/>
        <v>-779.94147972000007</v>
      </c>
      <c r="BH373" s="216">
        <v>0.19985000000000003</v>
      </c>
      <c r="BI373" s="216">
        <v>0.19985000000000003</v>
      </c>
      <c r="BJ373" s="227">
        <f t="shared" si="149"/>
        <v>0.19985000000000003</v>
      </c>
      <c r="BK373" s="165">
        <f t="shared" si="139"/>
        <v>6097</v>
      </c>
      <c r="BL373" s="181">
        <f t="shared" si="123"/>
        <v>30184.314206810308</v>
      </c>
      <c r="BO373" s="57">
        <v>7</v>
      </c>
      <c r="BP373" s="57" t="s">
        <v>83</v>
      </c>
      <c r="BQ373" s="167">
        <f t="shared" si="133"/>
        <v>30184.314206810308</v>
      </c>
      <c r="BR373" s="151">
        <f t="shared" si="124"/>
        <v>0.9920654989022919</v>
      </c>
      <c r="BS373" s="181">
        <f t="shared" si="150"/>
        <v>32279.750065138534</v>
      </c>
      <c r="BT373" s="165">
        <f t="shared" si="125"/>
        <v>-782.90979936000008</v>
      </c>
      <c r="BU373" s="216">
        <v>0.19985000000000003</v>
      </c>
      <c r="BV373" s="216">
        <v>0.19985000000000003</v>
      </c>
      <c r="BW373" s="227">
        <f t="shared" si="151"/>
        <v>0.19985000000000003</v>
      </c>
      <c r="BX373" s="165">
        <f t="shared" si="140"/>
        <v>6251</v>
      </c>
      <c r="BY373" s="181">
        <f t="shared" si="126"/>
        <v>31496.840265778534</v>
      </c>
      <c r="BZ373" s="226"/>
      <c r="CA373" s="66"/>
      <c r="CB373" s="57">
        <v>8</v>
      </c>
      <c r="CC373" s="57" t="s">
        <v>84</v>
      </c>
      <c r="CD373" s="165">
        <f>Input!I18</f>
        <v>27346</v>
      </c>
      <c r="CE373" s="165">
        <f t="shared" si="110"/>
        <v>27552.826008822805</v>
      </c>
      <c r="CF373" s="223">
        <f t="shared" si="111"/>
        <v>7.5633002568128906E-3</v>
      </c>
      <c r="CG373" s="101"/>
      <c r="CH373" s="136"/>
    </row>
    <row r="374" spans="3:86" x14ac:dyDescent="0.25">
      <c r="C374" s="57">
        <f t="shared" si="106"/>
        <v>8</v>
      </c>
      <c r="D374" s="57" t="str">
        <f t="shared" si="106"/>
        <v xml:space="preserve">35-39 </v>
      </c>
      <c r="E374" s="167">
        <f>Input!I18</f>
        <v>27346</v>
      </c>
      <c r="F374" s="151">
        <f t="shared" si="107"/>
        <v>0.98976778036987778</v>
      </c>
      <c r="G374" s="181">
        <f t="shared" si="127"/>
        <v>27910.770746117079</v>
      </c>
      <c r="H374" s="165">
        <f t="shared" si="128"/>
        <v>-1932.3862934599999</v>
      </c>
      <c r="I374" s="221">
        <f t="shared" si="134"/>
        <v>9.0700000000000003E-2</v>
      </c>
      <c r="J374" s="221">
        <f t="shared" si="141"/>
        <v>9.0700000000000003E-2</v>
      </c>
      <c r="K374" s="165">
        <f t="shared" si="135"/>
        <v>2535</v>
      </c>
      <c r="L374" s="181">
        <f t="shared" si="112"/>
        <v>25978.384452657079</v>
      </c>
      <c r="O374" s="57">
        <v>8</v>
      </c>
      <c r="P374" s="57" t="s">
        <v>84</v>
      </c>
      <c r="Q374" s="167">
        <f t="shared" si="129"/>
        <v>25978.384452657079</v>
      </c>
      <c r="R374" s="151">
        <f t="shared" si="113"/>
        <v>0.98976778036987778</v>
      </c>
      <c r="S374" s="181">
        <f t="shared" si="142"/>
        <v>28349.531436101883</v>
      </c>
      <c r="T374" s="165">
        <f t="shared" si="114"/>
        <v>-1959.0915364299999</v>
      </c>
      <c r="U374" s="216">
        <v>9.0700000000000003E-2</v>
      </c>
      <c r="V374" s="216">
        <v>9.0700000000000003E-2</v>
      </c>
      <c r="W374" s="227">
        <f t="shared" si="143"/>
        <v>9.0700000000000003E-2</v>
      </c>
      <c r="X374" s="165">
        <f t="shared" si="136"/>
        <v>2537</v>
      </c>
      <c r="Y374" s="181">
        <f t="shared" si="115"/>
        <v>26390.439899671881</v>
      </c>
      <c r="Z374" s="229"/>
      <c r="AB374" s="57">
        <v>8</v>
      </c>
      <c r="AC374" s="57" t="s">
        <v>84</v>
      </c>
      <c r="AD374" s="167">
        <f t="shared" si="130"/>
        <v>26390.439899671881</v>
      </c>
      <c r="AE374" s="151">
        <f t="shared" si="116"/>
        <v>0.98976778036987778</v>
      </c>
      <c r="AF374" s="181">
        <f t="shared" si="144"/>
        <v>27104.8625968216</v>
      </c>
      <c r="AG374" s="165">
        <f t="shared" si="117"/>
        <v>-2135.7103330499999</v>
      </c>
      <c r="AH374" s="216">
        <v>9.0700000000000003E-2</v>
      </c>
      <c r="AI374" s="216">
        <v>9.0700000000000003E-2</v>
      </c>
      <c r="AJ374" s="227">
        <f t="shared" si="145"/>
        <v>9.0700000000000003E-2</v>
      </c>
      <c r="AK374" s="165">
        <f t="shared" si="137"/>
        <v>2446</v>
      </c>
      <c r="AL374" s="181">
        <f t="shared" si="118"/>
        <v>24969.152263771601</v>
      </c>
      <c r="AM374" s="66"/>
      <c r="AN374" s="101"/>
      <c r="AO374" s="57">
        <v>8</v>
      </c>
      <c r="AP374" s="57" t="s">
        <v>84</v>
      </c>
      <c r="AQ374" s="167">
        <f t="shared" si="131"/>
        <v>24969.152263771601</v>
      </c>
      <c r="AR374" s="151">
        <f t="shared" si="109"/>
        <v>0.98976778036987778</v>
      </c>
      <c r="AS374" s="181">
        <f t="shared" si="146"/>
        <v>28843.106300993994</v>
      </c>
      <c r="AT374" s="165">
        <f t="shared" si="119"/>
        <v>-2305.1582257199998</v>
      </c>
      <c r="AU374" s="216">
        <v>9.0700000000000003E-2</v>
      </c>
      <c r="AV374" s="216">
        <v>9.0700000000000003E-2</v>
      </c>
      <c r="AW374" s="227">
        <f t="shared" si="147"/>
        <v>9.0700000000000003E-2</v>
      </c>
      <c r="AX374" s="165">
        <f t="shared" si="138"/>
        <v>2387</v>
      </c>
      <c r="AY374" s="181">
        <f t="shared" si="120"/>
        <v>26537.948075273995</v>
      </c>
      <c r="AZ374" s="100"/>
      <c r="BA374" s="226"/>
      <c r="BB374" s="57">
        <v>8</v>
      </c>
      <c r="BC374" s="57" t="s">
        <v>84</v>
      </c>
      <c r="BD374" s="167">
        <f t="shared" si="132"/>
        <v>26537.948075273995</v>
      </c>
      <c r="BE374" s="151">
        <f t="shared" si="121"/>
        <v>0.98976778036987778</v>
      </c>
      <c r="BF374" s="181">
        <f t="shared" si="148"/>
        <v>29627.770470214939</v>
      </c>
      <c r="BG374" s="165">
        <f t="shared" si="122"/>
        <v>-2448.7192802099999</v>
      </c>
      <c r="BH374" s="216">
        <v>9.0700000000000003E-2</v>
      </c>
      <c r="BI374" s="216">
        <v>9.0700000000000003E-2</v>
      </c>
      <c r="BJ374" s="227">
        <f t="shared" si="149"/>
        <v>9.0700000000000003E-2</v>
      </c>
      <c r="BK374" s="165">
        <f t="shared" si="139"/>
        <v>2495</v>
      </c>
      <c r="BL374" s="181">
        <f t="shared" si="123"/>
        <v>27179.051190004939</v>
      </c>
      <c r="BO374" s="57">
        <v>8</v>
      </c>
      <c r="BP374" s="57" t="s">
        <v>84</v>
      </c>
      <c r="BQ374" s="167">
        <f t="shared" si="133"/>
        <v>27179.051190004939</v>
      </c>
      <c r="BR374" s="151">
        <f t="shared" si="124"/>
        <v>0.98976778036987778</v>
      </c>
      <c r="BS374" s="181">
        <f t="shared" si="150"/>
        <v>29944.816732602805</v>
      </c>
      <c r="BT374" s="165">
        <f t="shared" si="125"/>
        <v>-2391.9907237799998</v>
      </c>
      <c r="BU374" s="216">
        <v>9.0700000000000003E-2</v>
      </c>
      <c r="BV374" s="216">
        <v>9.0700000000000003E-2</v>
      </c>
      <c r="BW374" s="227">
        <f t="shared" si="151"/>
        <v>9.0700000000000003E-2</v>
      </c>
      <c r="BX374" s="165">
        <f t="shared" si="140"/>
        <v>2562</v>
      </c>
      <c r="BY374" s="181">
        <f t="shared" si="126"/>
        <v>27552.826008822805</v>
      </c>
      <c r="BZ374" s="226"/>
      <c r="CA374" s="66"/>
      <c r="CB374" s="57">
        <v>9</v>
      </c>
      <c r="CC374" s="57" t="s">
        <v>85</v>
      </c>
      <c r="CD374" s="165">
        <f>Input!I19</f>
        <v>25043</v>
      </c>
      <c r="CE374" s="165">
        <f t="shared" si="110"/>
        <v>24100.646082890475</v>
      </c>
      <c r="CF374" s="223">
        <f t="shared" si="111"/>
        <v>-3.7629434057801593E-2</v>
      </c>
      <c r="CG374" s="101"/>
      <c r="CH374" s="136"/>
    </row>
    <row r="375" spans="3:86" x14ac:dyDescent="0.25">
      <c r="C375" s="57">
        <f t="shared" si="106"/>
        <v>9</v>
      </c>
      <c r="D375" s="57" t="str">
        <f t="shared" si="106"/>
        <v xml:space="preserve">40-44 </v>
      </c>
      <c r="E375" s="167">
        <f>Input!I19</f>
        <v>25043</v>
      </c>
      <c r="F375" s="151">
        <f t="shared" si="107"/>
        <v>0.98419116200885848</v>
      </c>
      <c r="G375" s="181">
        <f t="shared" si="127"/>
        <v>27066.189721994677</v>
      </c>
      <c r="H375" s="165">
        <f t="shared" si="128"/>
        <v>-2265.886986</v>
      </c>
      <c r="I375" s="221">
        <f t="shared" si="134"/>
        <v>1.9149999999999997E-2</v>
      </c>
      <c r="J375" s="221">
        <f t="shared" si="141"/>
        <v>1.9149999999999997E-2</v>
      </c>
      <c r="K375" s="165">
        <f t="shared" si="135"/>
        <v>506</v>
      </c>
      <c r="L375" s="181">
        <f t="shared" si="112"/>
        <v>24800.302735994675</v>
      </c>
      <c r="O375" s="57">
        <v>9</v>
      </c>
      <c r="P375" s="57" t="s">
        <v>85</v>
      </c>
      <c r="Q375" s="167">
        <f t="shared" si="129"/>
        <v>24800.302735994675</v>
      </c>
      <c r="R375" s="151">
        <f t="shared" si="113"/>
        <v>0.98419116200885848</v>
      </c>
      <c r="S375" s="181">
        <f t="shared" si="142"/>
        <v>25712.567917301738</v>
      </c>
      <c r="T375" s="165">
        <f t="shared" si="114"/>
        <v>-2185.3673779999999</v>
      </c>
      <c r="U375" s="216">
        <v>1.9149999999999997E-2</v>
      </c>
      <c r="V375" s="216">
        <v>1.9149999999999997E-2</v>
      </c>
      <c r="W375" s="227">
        <f t="shared" si="143"/>
        <v>1.9149999999999997E-2</v>
      </c>
      <c r="X375" s="165">
        <f t="shared" si="136"/>
        <v>500</v>
      </c>
      <c r="Y375" s="181">
        <f t="shared" si="115"/>
        <v>23527.200539301739</v>
      </c>
      <c r="Z375" s="229"/>
      <c r="AB375" s="57">
        <v>9</v>
      </c>
      <c r="AC375" s="57" t="s">
        <v>85</v>
      </c>
      <c r="AD375" s="167">
        <f t="shared" si="130"/>
        <v>23527.200539301739</v>
      </c>
      <c r="AE375" s="151">
        <f t="shared" si="116"/>
        <v>0.98419116200885848</v>
      </c>
      <c r="AF375" s="181">
        <f t="shared" si="144"/>
        <v>26120.407122482899</v>
      </c>
      <c r="AG375" s="165">
        <f t="shared" si="117"/>
        <v>-2239.3592200000003</v>
      </c>
      <c r="AH375" s="216">
        <v>1.9149999999999997E-2</v>
      </c>
      <c r="AI375" s="216">
        <v>1.9149999999999997E-2</v>
      </c>
      <c r="AJ375" s="227">
        <f t="shared" si="145"/>
        <v>1.9149999999999997E-2</v>
      </c>
      <c r="AK375" s="165">
        <f t="shared" si="137"/>
        <v>501</v>
      </c>
      <c r="AL375" s="181">
        <f t="shared" si="118"/>
        <v>23881.047902482896</v>
      </c>
      <c r="AM375" s="66"/>
      <c r="AN375" s="101"/>
      <c r="AO375" s="57">
        <v>9</v>
      </c>
      <c r="AP375" s="57" t="s">
        <v>85</v>
      </c>
      <c r="AQ375" s="167">
        <f t="shared" si="131"/>
        <v>23881.047902482896</v>
      </c>
      <c r="AR375" s="151">
        <f t="shared" si="109"/>
        <v>0.98419116200885848</v>
      </c>
      <c r="AS375" s="181">
        <f t="shared" si="146"/>
        <v>24713.662413830727</v>
      </c>
      <c r="AT375" s="165">
        <f t="shared" si="119"/>
        <v>-2440.0014060000003</v>
      </c>
      <c r="AU375" s="216">
        <v>1.9149999999999997E-2</v>
      </c>
      <c r="AV375" s="216">
        <v>1.9149999999999997E-2</v>
      </c>
      <c r="AW375" s="227">
        <f t="shared" si="147"/>
        <v>1.9149999999999997E-2</v>
      </c>
      <c r="AX375" s="165">
        <f t="shared" si="138"/>
        <v>480</v>
      </c>
      <c r="AY375" s="181">
        <f t="shared" si="120"/>
        <v>22273.661007830728</v>
      </c>
      <c r="AZ375" s="100"/>
      <c r="BA375" s="226"/>
      <c r="BB375" s="57">
        <v>9</v>
      </c>
      <c r="BC375" s="57" t="s">
        <v>85</v>
      </c>
      <c r="BD375" s="167">
        <f t="shared" si="132"/>
        <v>22273.661007830728</v>
      </c>
      <c r="BE375" s="151">
        <f t="shared" si="121"/>
        <v>0.98419116200885848</v>
      </c>
      <c r="BF375" s="181">
        <f t="shared" si="148"/>
        <v>26266.405962035013</v>
      </c>
      <c r="BG375" s="165">
        <f t="shared" si="122"/>
        <v>-2634.6677760000002</v>
      </c>
      <c r="BH375" s="216">
        <v>1.9149999999999997E-2</v>
      </c>
      <c r="BI375" s="216">
        <v>1.9149999999999997E-2</v>
      </c>
      <c r="BJ375" s="227">
        <f t="shared" si="149"/>
        <v>1.9149999999999997E-2</v>
      </c>
      <c r="BK375" s="165">
        <f t="shared" si="139"/>
        <v>465</v>
      </c>
      <c r="BL375" s="181">
        <f t="shared" si="123"/>
        <v>23631.738186035014</v>
      </c>
      <c r="BO375" s="57">
        <v>9</v>
      </c>
      <c r="BP375" s="57" t="s">
        <v>85</v>
      </c>
      <c r="BQ375" s="167">
        <f t="shared" si="133"/>
        <v>23631.738186035014</v>
      </c>
      <c r="BR375" s="151">
        <f t="shared" si="124"/>
        <v>0.98419116200885848</v>
      </c>
      <c r="BS375" s="181">
        <f t="shared" si="150"/>
        <v>26900.949168890475</v>
      </c>
      <c r="BT375" s="165">
        <f t="shared" si="125"/>
        <v>-2800.3030860000003</v>
      </c>
      <c r="BU375" s="216">
        <v>1.9149999999999997E-2</v>
      </c>
      <c r="BV375" s="216">
        <v>1.9149999999999997E-2</v>
      </c>
      <c r="BW375" s="227">
        <f t="shared" si="151"/>
        <v>1.9149999999999997E-2</v>
      </c>
      <c r="BX375" s="165">
        <f t="shared" si="140"/>
        <v>486</v>
      </c>
      <c r="BY375" s="181">
        <f t="shared" si="126"/>
        <v>24100.646082890475</v>
      </c>
      <c r="BZ375" s="226"/>
      <c r="CA375" s="66"/>
      <c r="CB375" s="57">
        <v>10</v>
      </c>
      <c r="CC375" s="57" t="s">
        <v>86</v>
      </c>
      <c r="CD375" s="165">
        <f>Input!I20</f>
        <v>23810</v>
      </c>
      <c r="CE375" s="165">
        <f t="shared" si="110"/>
        <v>21506.688899642915</v>
      </c>
      <c r="CF375" s="223">
        <f t="shared" si="111"/>
        <v>-9.6737131472368121E-2</v>
      </c>
      <c r="CG375" s="101"/>
      <c r="CH375" s="136"/>
    </row>
    <row r="376" spans="3:86" x14ac:dyDescent="0.25">
      <c r="C376" s="57">
        <f t="shared" si="106"/>
        <v>10</v>
      </c>
      <c r="D376" s="57" t="str">
        <f t="shared" si="106"/>
        <v xml:space="preserve">45-49 </v>
      </c>
      <c r="E376" s="167">
        <f>Input!I20</f>
        <v>23810</v>
      </c>
      <c r="F376" s="151">
        <f t="shared" si="107"/>
        <v>0.97522479194122291</v>
      </c>
      <c r="G376" s="181">
        <f t="shared" si="127"/>
        <v>24647.099270187842</v>
      </c>
      <c r="H376" s="165">
        <f t="shared" si="128"/>
        <v>-1622.8513263</v>
      </c>
      <c r="I376" s="221">
        <f t="shared" si="134"/>
        <v>1.4E-3</v>
      </c>
      <c r="J376" s="221">
        <f t="shared" si="141"/>
        <v>1.4E-3</v>
      </c>
      <c r="K376" s="165">
        <f t="shared" si="135"/>
        <v>36</v>
      </c>
      <c r="L376" s="181">
        <f t="shared" si="112"/>
        <v>23024.247943887844</v>
      </c>
      <c r="O376" s="57">
        <v>10</v>
      </c>
      <c r="P376" s="57" t="s">
        <v>86</v>
      </c>
      <c r="Q376" s="167">
        <f t="shared" si="129"/>
        <v>23024.247943887844</v>
      </c>
      <c r="R376" s="151">
        <f t="shared" si="113"/>
        <v>0.97522479194122291</v>
      </c>
      <c r="S376" s="181">
        <f t="shared" si="142"/>
        <v>24408.238767910072</v>
      </c>
      <c r="T376" s="165">
        <f t="shared" si="114"/>
        <v>-1494.6573231</v>
      </c>
      <c r="U376" s="216">
        <v>1.4E-3</v>
      </c>
      <c r="V376" s="216">
        <v>1.4E-3</v>
      </c>
      <c r="W376" s="227">
        <f t="shared" si="143"/>
        <v>1.4E-3</v>
      </c>
      <c r="X376" s="165">
        <f t="shared" si="136"/>
        <v>35</v>
      </c>
      <c r="Y376" s="181">
        <f t="shared" si="115"/>
        <v>22913.581444810072</v>
      </c>
      <c r="Z376" s="229"/>
      <c r="AB376" s="57">
        <v>10</v>
      </c>
      <c r="AC376" s="57" t="s">
        <v>86</v>
      </c>
      <c r="AD376" s="167">
        <f t="shared" si="130"/>
        <v>22913.581444810072</v>
      </c>
      <c r="AE376" s="151">
        <f t="shared" si="116"/>
        <v>0.97522479194122291</v>
      </c>
      <c r="AF376" s="181">
        <f t="shared" si="144"/>
        <v>23155.262837590821</v>
      </c>
      <c r="AG376" s="165">
        <f t="shared" si="117"/>
        <v>-1449.17888472</v>
      </c>
      <c r="AH376" s="216">
        <v>1.4E-3</v>
      </c>
      <c r="AI376" s="216">
        <v>1.4E-3</v>
      </c>
      <c r="AJ376" s="227">
        <f t="shared" si="145"/>
        <v>1.4E-3</v>
      </c>
      <c r="AK376" s="165">
        <f t="shared" si="137"/>
        <v>35</v>
      </c>
      <c r="AL376" s="181">
        <f t="shared" si="118"/>
        <v>21706.08395287082</v>
      </c>
      <c r="AM376" s="66"/>
      <c r="AN376" s="101"/>
      <c r="AO376" s="57">
        <v>10</v>
      </c>
      <c r="AP376" s="57" t="s">
        <v>86</v>
      </c>
      <c r="AQ376" s="167">
        <f t="shared" si="131"/>
        <v>21706.08395287082</v>
      </c>
      <c r="AR376" s="151">
        <f t="shared" si="109"/>
        <v>0.97522479194122291</v>
      </c>
      <c r="AS376" s="181">
        <f t="shared" si="146"/>
        <v>23503.516285133854</v>
      </c>
      <c r="AT376" s="165">
        <f t="shared" si="119"/>
        <v>-1486.2690594600001</v>
      </c>
      <c r="AU376" s="216">
        <v>1.4E-3</v>
      </c>
      <c r="AV376" s="216">
        <v>1.4E-3</v>
      </c>
      <c r="AW376" s="227">
        <f t="shared" si="147"/>
        <v>1.4E-3</v>
      </c>
      <c r="AX376" s="165">
        <f t="shared" si="138"/>
        <v>35</v>
      </c>
      <c r="AY376" s="181">
        <f t="shared" si="120"/>
        <v>22017.247225673855</v>
      </c>
      <c r="AZ376" s="100"/>
      <c r="BA376" s="226"/>
      <c r="BB376" s="57">
        <v>10</v>
      </c>
      <c r="BC376" s="57" t="s">
        <v>86</v>
      </c>
      <c r="BD376" s="167">
        <f t="shared" si="132"/>
        <v>22017.247225673855</v>
      </c>
      <c r="BE376" s="151">
        <f t="shared" si="121"/>
        <v>0.97522479194122291</v>
      </c>
      <c r="BF376" s="181">
        <f t="shared" si="148"/>
        <v>21921.540309488326</v>
      </c>
      <c r="BG376" s="165">
        <f t="shared" si="122"/>
        <v>-1620.7305888600001</v>
      </c>
      <c r="BH376" s="216">
        <v>1.4E-3</v>
      </c>
      <c r="BI376" s="216">
        <v>1.4E-3</v>
      </c>
      <c r="BJ376" s="227">
        <f t="shared" si="149"/>
        <v>1.4E-3</v>
      </c>
      <c r="BK376" s="165">
        <f t="shared" si="139"/>
        <v>33</v>
      </c>
      <c r="BL376" s="181">
        <f t="shared" si="123"/>
        <v>20300.809720628327</v>
      </c>
      <c r="BO376" s="57">
        <v>10</v>
      </c>
      <c r="BP376" s="57" t="s">
        <v>86</v>
      </c>
      <c r="BQ376" s="167">
        <f t="shared" si="133"/>
        <v>20300.809720628327</v>
      </c>
      <c r="BR376" s="151">
        <f t="shared" si="124"/>
        <v>0.97522479194122291</v>
      </c>
      <c r="BS376" s="181">
        <f t="shared" si="150"/>
        <v>23258.147865602914</v>
      </c>
      <c r="BT376" s="165">
        <f t="shared" si="125"/>
        <v>-1751.4589659600001</v>
      </c>
      <c r="BU376" s="216">
        <v>1.4E-3</v>
      </c>
      <c r="BV376" s="216">
        <v>1.4E-3</v>
      </c>
      <c r="BW376" s="227">
        <f t="shared" si="151"/>
        <v>1.4E-3</v>
      </c>
      <c r="BX376" s="165">
        <f t="shared" si="140"/>
        <v>32</v>
      </c>
      <c r="BY376" s="181">
        <f t="shared" si="126"/>
        <v>21506.688899642915</v>
      </c>
      <c r="BZ376" s="226"/>
      <c r="CA376" s="66"/>
      <c r="CB376" s="57">
        <v>11</v>
      </c>
      <c r="CC376" s="57" t="s">
        <v>87</v>
      </c>
      <c r="CD376" s="165">
        <f>Input!I21</f>
        <v>21027</v>
      </c>
      <c r="CE376" s="165">
        <f t="shared" si="110"/>
        <v>18621.905481658116</v>
      </c>
      <c r="CF376" s="223">
        <f t="shared" si="111"/>
        <v>-0.11438124879164334</v>
      </c>
      <c r="CG376" s="101"/>
      <c r="CH376" s="136"/>
    </row>
    <row r="377" spans="3:86" x14ac:dyDescent="0.25">
      <c r="C377" s="57">
        <f t="shared" si="106"/>
        <v>11</v>
      </c>
      <c r="D377" s="57" t="str">
        <f t="shared" si="106"/>
        <v xml:space="preserve">50-54 </v>
      </c>
      <c r="E377" s="167">
        <f>Input!I21</f>
        <v>21027</v>
      </c>
      <c r="F377" s="151">
        <f t="shared" si="107"/>
        <v>0.96281738689480234</v>
      </c>
      <c r="G377" s="181">
        <f t="shared" si="127"/>
        <v>23220.102296120516</v>
      </c>
      <c r="H377" s="165">
        <f t="shared" si="128"/>
        <v>-1158.2710475600002</v>
      </c>
      <c r="I377" s="221" t="str">
        <f t="shared" ref="I377:K384" si="152">H288</f>
        <v>--</v>
      </c>
      <c r="J377" s="221" t="str">
        <f t="shared" si="152"/>
        <v>--</v>
      </c>
      <c r="K377" s="166" t="str">
        <f t="shared" si="152"/>
        <v>--</v>
      </c>
      <c r="L377" s="181">
        <f t="shared" si="112"/>
        <v>22061.831248560517</v>
      </c>
      <c r="O377" s="57">
        <v>11</v>
      </c>
      <c r="P377" s="57" t="s">
        <v>87</v>
      </c>
      <c r="Q377" s="167">
        <f t="shared" si="129"/>
        <v>22061.831248560517</v>
      </c>
      <c r="R377" s="151">
        <f t="shared" si="113"/>
        <v>0.96281738689480234</v>
      </c>
      <c r="S377" s="181">
        <f t="shared" si="142"/>
        <v>22453.817410681153</v>
      </c>
      <c r="T377" s="165">
        <f t="shared" si="114"/>
        <v>-1160.6219621</v>
      </c>
      <c r="U377" s="201" t="s">
        <v>143</v>
      </c>
      <c r="V377" s="201" t="s">
        <v>143</v>
      </c>
      <c r="W377" s="201" t="s">
        <v>143</v>
      </c>
      <c r="X377" s="201" t="s">
        <v>143</v>
      </c>
      <c r="Y377" s="181">
        <f t="shared" si="115"/>
        <v>21293.195448581151</v>
      </c>
      <c r="Z377" s="229"/>
      <c r="AB377" s="57">
        <v>11</v>
      </c>
      <c r="AC377" s="57" t="s">
        <v>87</v>
      </c>
      <c r="AD377" s="167">
        <f t="shared" si="130"/>
        <v>21293.195448581151</v>
      </c>
      <c r="AE377" s="151">
        <f t="shared" si="116"/>
        <v>0.96281738689480234</v>
      </c>
      <c r="AF377" s="181">
        <f t="shared" si="144"/>
        <v>22345.892697143168</v>
      </c>
      <c r="AG377" s="165">
        <f t="shared" si="117"/>
        <v>-1078.67811368</v>
      </c>
      <c r="AH377" s="201" t="s">
        <v>143</v>
      </c>
      <c r="AI377" s="201" t="s">
        <v>143</v>
      </c>
      <c r="AJ377" s="201" t="s">
        <v>143</v>
      </c>
      <c r="AK377" s="201" t="s">
        <v>143</v>
      </c>
      <c r="AL377" s="181">
        <f t="shared" si="118"/>
        <v>21267.214583463166</v>
      </c>
      <c r="AM377" s="66"/>
      <c r="AN377" s="101"/>
      <c r="AO377" s="57">
        <v>11</v>
      </c>
      <c r="AP377" s="57" t="s">
        <v>87</v>
      </c>
      <c r="AQ377" s="167">
        <f t="shared" si="131"/>
        <v>21267.214583463166</v>
      </c>
      <c r="AR377" s="151">
        <f t="shared" si="109"/>
        <v>0.96281738689480234</v>
      </c>
      <c r="AS377" s="181">
        <f t="shared" si="146"/>
        <v>21168.311206797163</v>
      </c>
      <c r="AT377" s="165">
        <f t="shared" si="119"/>
        <v>-1047.66428462</v>
      </c>
      <c r="AU377" s="201" t="s">
        <v>143</v>
      </c>
      <c r="AV377" s="201" t="s">
        <v>143</v>
      </c>
      <c r="AW377" s="201" t="s">
        <v>143</v>
      </c>
      <c r="AX377" s="201" t="s">
        <v>143</v>
      </c>
      <c r="AY377" s="181">
        <f t="shared" si="120"/>
        <v>20120.646922177162</v>
      </c>
      <c r="AZ377" s="100"/>
      <c r="BA377" s="226"/>
      <c r="BB377" s="57">
        <v>11</v>
      </c>
      <c r="BC377" s="57" t="s">
        <v>87</v>
      </c>
      <c r="BD377" s="167">
        <f t="shared" si="132"/>
        <v>20120.646922177162</v>
      </c>
      <c r="BE377" s="151">
        <f t="shared" si="121"/>
        <v>0.96281738689480234</v>
      </c>
      <c r="BF377" s="181">
        <f t="shared" si="148"/>
        <v>21471.765344776253</v>
      </c>
      <c r="BG377" s="165">
        <f t="shared" si="122"/>
        <v>-1076.8386774600001</v>
      </c>
      <c r="BH377" s="201" t="s">
        <v>143</v>
      </c>
      <c r="BI377" s="201" t="s">
        <v>143</v>
      </c>
      <c r="BJ377" s="201" t="s">
        <v>143</v>
      </c>
      <c r="BK377" s="201" t="s">
        <v>143</v>
      </c>
      <c r="BL377" s="181">
        <f t="shared" si="123"/>
        <v>20394.926667316253</v>
      </c>
      <c r="BO377" s="57">
        <v>11</v>
      </c>
      <c r="BP377" s="57" t="s">
        <v>87</v>
      </c>
      <c r="BQ377" s="167">
        <f t="shared" si="133"/>
        <v>20394.926667316253</v>
      </c>
      <c r="BR377" s="151">
        <f t="shared" si="124"/>
        <v>0.96281738689480234</v>
      </c>
      <c r="BS377" s="181">
        <f t="shared" si="150"/>
        <v>19797.852936038114</v>
      </c>
      <c r="BT377" s="165">
        <f t="shared" si="125"/>
        <v>-1175.94745438</v>
      </c>
      <c r="BU377" s="201" t="s">
        <v>143</v>
      </c>
      <c r="BV377" s="201" t="s">
        <v>143</v>
      </c>
      <c r="BW377" s="201" t="s">
        <v>143</v>
      </c>
      <c r="BX377" s="201" t="s">
        <v>143</v>
      </c>
      <c r="BY377" s="181">
        <f t="shared" si="126"/>
        <v>18621.905481658116</v>
      </c>
      <c r="BZ377" s="226"/>
      <c r="CA377" s="66"/>
      <c r="CB377" s="57">
        <v>12</v>
      </c>
      <c r="CC377" s="57" t="s">
        <v>88</v>
      </c>
      <c r="CD377" s="165">
        <f>Input!I22</f>
        <v>17928</v>
      </c>
      <c r="CE377" s="165">
        <f t="shared" si="110"/>
        <v>18633.075631376556</v>
      </c>
      <c r="CF377" s="223">
        <f t="shared" si="111"/>
        <v>3.9328181134346052E-2</v>
      </c>
      <c r="CG377" s="101"/>
      <c r="CH377" s="101"/>
    </row>
    <row r="378" spans="3:86" x14ac:dyDescent="0.25">
      <c r="C378" s="57">
        <f t="shared" si="106"/>
        <v>12</v>
      </c>
      <c r="D378" s="57" t="str">
        <f t="shared" si="106"/>
        <v xml:space="preserve">55-59 </v>
      </c>
      <c r="E378" s="167">
        <f>Input!I22</f>
        <v>17928</v>
      </c>
      <c r="F378" s="151">
        <f t="shared" si="107"/>
        <v>0.94713637011152818</v>
      </c>
      <c r="G378" s="181">
        <f t="shared" si="127"/>
        <v>20245.161194237007</v>
      </c>
      <c r="H378" s="165">
        <f t="shared" si="128"/>
        <v>-958.65040768000006</v>
      </c>
      <c r="I378" s="221" t="str">
        <f t="shared" si="152"/>
        <v>--</v>
      </c>
      <c r="J378" s="221" t="str">
        <f t="shared" si="152"/>
        <v>--</v>
      </c>
      <c r="K378" s="166" t="str">
        <f t="shared" si="152"/>
        <v>--</v>
      </c>
      <c r="L378" s="181">
        <f t="shared" si="112"/>
        <v>19286.510786557006</v>
      </c>
      <c r="O378" s="57">
        <v>12</v>
      </c>
      <c r="P378" s="57" t="s">
        <v>88</v>
      </c>
      <c r="Q378" s="167">
        <f t="shared" si="129"/>
        <v>19286.510786557006</v>
      </c>
      <c r="R378" s="151">
        <f t="shared" si="113"/>
        <v>0.94713637011152818</v>
      </c>
      <c r="S378" s="181">
        <f t="shared" si="142"/>
        <v>21241.514712853132</v>
      </c>
      <c r="T378" s="165">
        <f t="shared" si="114"/>
        <v>-1067.06132834</v>
      </c>
      <c r="U378" s="201" t="s">
        <v>143</v>
      </c>
      <c r="V378" s="201" t="s">
        <v>143</v>
      </c>
      <c r="W378" s="201" t="s">
        <v>143</v>
      </c>
      <c r="X378" s="201" t="s">
        <v>143</v>
      </c>
      <c r="Y378" s="181">
        <f t="shared" si="115"/>
        <v>20174.45338451313</v>
      </c>
      <c r="Z378" s="229"/>
      <c r="AB378" s="57">
        <v>12</v>
      </c>
      <c r="AC378" s="57" t="s">
        <v>88</v>
      </c>
      <c r="AD378" s="167">
        <f t="shared" si="130"/>
        <v>20174.45338451313</v>
      </c>
      <c r="AE378" s="151">
        <f t="shared" si="116"/>
        <v>0.94713637011152818</v>
      </c>
      <c r="AF378" s="181">
        <f t="shared" si="144"/>
        <v>20501.458800443201</v>
      </c>
      <c r="AG378" s="165">
        <f t="shared" si="117"/>
        <v>-1072.0916105200001</v>
      </c>
      <c r="AH378" s="201" t="s">
        <v>143</v>
      </c>
      <c r="AI378" s="201" t="s">
        <v>143</v>
      </c>
      <c r="AJ378" s="201" t="s">
        <v>143</v>
      </c>
      <c r="AK378" s="201" t="s">
        <v>143</v>
      </c>
      <c r="AL378" s="181">
        <f t="shared" si="118"/>
        <v>19429.367189923199</v>
      </c>
      <c r="AM378" s="66"/>
      <c r="AN378" s="101"/>
      <c r="AO378" s="57">
        <v>12</v>
      </c>
      <c r="AP378" s="57" t="s">
        <v>88</v>
      </c>
      <c r="AQ378" s="167">
        <f t="shared" si="131"/>
        <v>19429.367189923199</v>
      </c>
      <c r="AR378" s="151">
        <f t="shared" si="109"/>
        <v>0.94713637011152818</v>
      </c>
      <c r="AS378" s="181">
        <f t="shared" si="146"/>
        <v>20476.443971781038</v>
      </c>
      <c r="AT378" s="165">
        <f t="shared" si="119"/>
        <v>-999.46300468000004</v>
      </c>
      <c r="AU378" s="201" t="s">
        <v>143</v>
      </c>
      <c r="AV378" s="201" t="s">
        <v>143</v>
      </c>
      <c r="AW378" s="201" t="s">
        <v>143</v>
      </c>
      <c r="AX378" s="201" t="s">
        <v>143</v>
      </c>
      <c r="AY378" s="181">
        <f t="shared" si="120"/>
        <v>19476.980967101037</v>
      </c>
      <c r="AZ378" s="100"/>
      <c r="BA378" s="226"/>
      <c r="BB378" s="57">
        <v>12</v>
      </c>
      <c r="BC378" s="57" t="s">
        <v>88</v>
      </c>
      <c r="BD378" s="167">
        <f t="shared" si="132"/>
        <v>19476.980967101037</v>
      </c>
      <c r="BE378" s="151">
        <f t="shared" si="121"/>
        <v>0.94713637011152818</v>
      </c>
      <c r="BF378" s="181">
        <f t="shared" si="148"/>
        <v>19372.508692243562</v>
      </c>
      <c r="BG378" s="165">
        <f t="shared" si="122"/>
        <v>-973.55382529999997</v>
      </c>
      <c r="BH378" s="201" t="s">
        <v>143</v>
      </c>
      <c r="BI378" s="201" t="s">
        <v>143</v>
      </c>
      <c r="BJ378" s="201" t="s">
        <v>143</v>
      </c>
      <c r="BK378" s="201" t="s">
        <v>143</v>
      </c>
      <c r="BL378" s="181">
        <f t="shared" si="123"/>
        <v>18398.954866943561</v>
      </c>
      <c r="BO378" s="57">
        <v>12</v>
      </c>
      <c r="BP378" s="57" t="s">
        <v>88</v>
      </c>
      <c r="BQ378" s="167">
        <f t="shared" si="133"/>
        <v>18398.954866943561</v>
      </c>
      <c r="BR378" s="151">
        <f t="shared" si="124"/>
        <v>0.94713637011152818</v>
      </c>
      <c r="BS378" s="181">
        <f t="shared" si="150"/>
        <v>19636.589999736556</v>
      </c>
      <c r="BT378" s="165">
        <f t="shared" si="125"/>
        <v>-1003.51436836</v>
      </c>
      <c r="BU378" s="201" t="s">
        <v>143</v>
      </c>
      <c r="BV378" s="201" t="s">
        <v>143</v>
      </c>
      <c r="BW378" s="201" t="s">
        <v>143</v>
      </c>
      <c r="BX378" s="201" t="s">
        <v>143</v>
      </c>
      <c r="BY378" s="181">
        <f t="shared" si="126"/>
        <v>18633.075631376556</v>
      </c>
      <c r="BZ378" s="226"/>
      <c r="CA378" s="66"/>
      <c r="CB378" s="57">
        <v>13</v>
      </c>
      <c r="CC378" s="57" t="s">
        <v>89</v>
      </c>
      <c r="CD378" s="165">
        <f>Input!I23</f>
        <v>14530</v>
      </c>
      <c r="CE378" s="165">
        <f t="shared" si="110"/>
        <v>16458.377493972759</v>
      </c>
      <c r="CF378" s="223">
        <f t="shared" si="111"/>
        <v>0.13271696448539291</v>
      </c>
      <c r="CG378" s="101"/>
      <c r="CH378" s="101"/>
    </row>
    <row r="379" spans="3:86" x14ac:dyDescent="0.25">
      <c r="C379" s="57">
        <f t="shared" si="106"/>
        <v>13</v>
      </c>
      <c r="D379" s="57" t="str">
        <f t="shared" si="106"/>
        <v xml:space="preserve">60-64 </v>
      </c>
      <c r="E379" s="167">
        <f>Input!I23</f>
        <v>14530</v>
      </c>
      <c r="F379" s="151">
        <f t="shared" si="107"/>
        <v>0.92522691762055209</v>
      </c>
      <c r="G379" s="181">
        <f t="shared" si="127"/>
        <v>16980.260843359476</v>
      </c>
      <c r="H379" s="165">
        <f t="shared" si="128"/>
        <v>-835.13272499999994</v>
      </c>
      <c r="I379" s="221" t="str">
        <f t="shared" si="152"/>
        <v>--</v>
      </c>
      <c r="J379" s="221" t="str">
        <f t="shared" si="152"/>
        <v>--</v>
      </c>
      <c r="K379" s="166" t="str">
        <f t="shared" si="152"/>
        <v>--</v>
      </c>
      <c r="L379" s="181">
        <f t="shared" si="112"/>
        <v>16145.128118359477</v>
      </c>
      <c r="O379" s="57">
        <v>13</v>
      </c>
      <c r="P379" s="57" t="s">
        <v>89</v>
      </c>
      <c r="Q379" s="167">
        <f t="shared" si="129"/>
        <v>16145.128118359477</v>
      </c>
      <c r="R379" s="151">
        <f t="shared" si="113"/>
        <v>0.92522691762055209</v>
      </c>
      <c r="S379" s="181">
        <f t="shared" si="142"/>
        <v>18266.955818496437</v>
      </c>
      <c r="T379" s="165">
        <f t="shared" si="114"/>
        <v>-944.05564085000003</v>
      </c>
      <c r="U379" s="201" t="s">
        <v>143</v>
      </c>
      <c r="V379" s="201" t="s">
        <v>143</v>
      </c>
      <c r="W379" s="201" t="s">
        <v>143</v>
      </c>
      <c r="X379" s="201" t="s">
        <v>143</v>
      </c>
      <c r="Y379" s="181">
        <f t="shared" si="115"/>
        <v>17322.900177646436</v>
      </c>
      <c r="Z379" s="229"/>
      <c r="AB379" s="57">
        <v>13</v>
      </c>
      <c r="AC379" s="57" t="s">
        <v>89</v>
      </c>
      <c r="AD379" s="167">
        <f t="shared" si="130"/>
        <v>17322.900177646436</v>
      </c>
      <c r="AE379" s="151">
        <f t="shared" si="116"/>
        <v>0.92522691762055209</v>
      </c>
      <c r="AF379" s="181">
        <f t="shared" si="144"/>
        <v>19107.958547591999</v>
      </c>
      <c r="AG379" s="165">
        <f t="shared" si="117"/>
        <v>-1049.1419605799999</v>
      </c>
      <c r="AH379" s="201" t="s">
        <v>143</v>
      </c>
      <c r="AI379" s="201" t="s">
        <v>143</v>
      </c>
      <c r="AJ379" s="201" t="s">
        <v>143</v>
      </c>
      <c r="AK379" s="201" t="s">
        <v>143</v>
      </c>
      <c r="AL379" s="181">
        <f t="shared" si="118"/>
        <v>18058.816587011999</v>
      </c>
      <c r="AM379" s="66"/>
      <c r="AN379" s="101"/>
      <c r="AO379" s="57">
        <v>13</v>
      </c>
      <c r="AP379" s="57" t="s">
        <v>89</v>
      </c>
      <c r="AQ379" s="167">
        <f t="shared" si="131"/>
        <v>18058.816587011999</v>
      </c>
      <c r="AR379" s="151">
        <f t="shared" si="109"/>
        <v>0.92522691762055209</v>
      </c>
      <c r="AS379" s="181">
        <f t="shared" si="146"/>
        <v>18402.260313827883</v>
      </c>
      <c r="AT379" s="165">
        <f t="shared" si="119"/>
        <v>-1057.60701683</v>
      </c>
      <c r="AU379" s="201" t="s">
        <v>143</v>
      </c>
      <c r="AV379" s="201" t="s">
        <v>143</v>
      </c>
      <c r="AW379" s="201" t="s">
        <v>143</v>
      </c>
      <c r="AX379" s="201" t="s">
        <v>143</v>
      </c>
      <c r="AY379" s="181">
        <f t="shared" si="120"/>
        <v>17344.653296997883</v>
      </c>
      <c r="AZ379" s="100"/>
      <c r="BA379" s="226"/>
      <c r="BB379" s="57">
        <v>13</v>
      </c>
      <c r="BC379" s="57" t="s">
        <v>89</v>
      </c>
      <c r="BD379" s="167">
        <f t="shared" si="132"/>
        <v>17344.653296997883</v>
      </c>
      <c r="BE379" s="151">
        <f t="shared" si="121"/>
        <v>0.92522691762055209</v>
      </c>
      <c r="BF379" s="181">
        <f t="shared" si="148"/>
        <v>18447.357053911397</v>
      </c>
      <c r="BG379" s="165">
        <f t="shared" si="122"/>
        <v>-990.23426740000002</v>
      </c>
      <c r="BH379" s="201" t="s">
        <v>143</v>
      </c>
      <c r="BI379" s="201" t="s">
        <v>143</v>
      </c>
      <c r="BJ379" s="201" t="s">
        <v>143</v>
      </c>
      <c r="BK379" s="201" t="s">
        <v>143</v>
      </c>
      <c r="BL379" s="181">
        <f t="shared" si="123"/>
        <v>17457.122786511398</v>
      </c>
      <c r="BO379" s="57">
        <v>13</v>
      </c>
      <c r="BP379" s="57" t="s">
        <v>89</v>
      </c>
      <c r="BQ379" s="167">
        <f t="shared" si="133"/>
        <v>17457.122786511398</v>
      </c>
      <c r="BR379" s="151">
        <f t="shared" si="124"/>
        <v>0.92522691762055209</v>
      </c>
      <c r="BS379" s="181">
        <f t="shared" si="150"/>
        <v>17426.31932652276</v>
      </c>
      <c r="BT379" s="165">
        <f t="shared" si="125"/>
        <v>-967.94183254999996</v>
      </c>
      <c r="BU379" s="201" t="s">
        <v>143</v>
      </c>
      <c r="BV379" s="201" t="s">
        <v>143</v>
      </c>
      <c r="BW379" s="201" t="s">
        <v>143</v>
      </c>
      <c r="BX379" s="201" t="s">
        <v>143</v>
      </c>
      <c r="BY379" s="181">
        <f t="shared" si="126"/>
        <v>16458.377493972759</v>
      </c>
      <c r="BZ379" s="226"/>
      <c r="CA379" s="66"/>
      <c r="CB379" s="57">
        <v>14</v>
      </c>
      <c r="CC379" s="57" t="s">
        <v>90</v>
      </c>
      <c r="CD379" s="165">
        <f>Input!I24</f>
        <v>9311</v>
      </c>
      <c r="CE379" s="165">
        <f t="shared" si="110"/>
        <v>15108.037098287445</v>
      </c>
      <c r="CF379" s="223">
        <f t="shared" si="111"/>
        <v>0.62260091271479379</v>
      </c>
      <c r="CG379" s="101"/>
      <c r="CH379" s="101"/>
    </row>
    <row r="380" spans="3:86" x14ac:dyDescent="0.25">
      <c r="C380" s="57">
        <f t="shared" si="106"/>
        <v>14</v>
      </c>
      <c r="D380" s="57" t="str">
        <f t="shared" si="106"/>
        <v xml:space="preserve">65-69 </v>
      </c>
      <c r="E380" s="167">
        <f>Input!I24</f>
        <v>9311</v>
      </c>
      <c r="F380" s="151">
        <f t="shared" si="107"/>
        <v>0.88969470685430108</v>
      </c>
      <c r="G380" s="181">
        <f t="shared" si="127"/>
        <v>13443.547113026621</v>
      </c>
      <c r="H380" s="165">
        <f t="shared" si="128"/>
        <v>-670.93598808000002</v>
      </c>
      <c r="I380" s="221" t="str">
        <f t="shared" si="152"/>
        <v>--</v>
      </c>
      <c r="J380" s="221" t="str">
        <f t="shared" si="152"/>
        <v>--</v>
      </c>
      <c r="K380" s="166" t="str">
        <f t="shared" si="152"/>
        <v>--</v>
      </c>
      <c r="L380" s="181">
        <f t="shared" si="112"/>
        <v>12772.611124946621</v>
      </c>
      <c r="O380" s="57">
        <v>14</v>
      </c>
      <c r="P380" s="57" t="s">
        <v>90</v>
      </c>
      <c r="Q380" s="167">
        <f t="shared" si="129"/>
        <v>12772.611124946621</v>
      </c>
      <c r="R380" s="151">
        <f t="shared" si="113"/>
        <v>0.88969470685430108</v>
      </c>
      <c r="S380" s="181">
        <f t="shared" si="142"/>
        <v>14937.907123538642</v>
      </c>
      <c r="T380" s="165">
        <f t="shared" si="114"/>
        <v>-872.63807503999999</v>
      </c>
      <c r="U380" s="201" t="s">
        <v>143</v>
      </c>
      <c r="V380" s="201" t="s">
        <v>143</v>
      </c>
      <c r="W380" s="201" t="s">
        <v>143</v>
      </c>
      <c r="X380" s="201" t="s">
        <v>143</v>
      </c>
      <c r="Y380" s="181">
        <f t="shared" si="115"/>
        <v>14065.269048498641</v>
      </c>
      <c r="Z380" s="229"/>
      <c r="AB380" s="57">
        <v>14</v>
      </c>
      <c r="AC380" s="57" t="s">
        <v>90</v>
      </c>
      <c r="AD380" s="167">
        <f t="shared" si="130"/>
        <v>14065.269048498641</v>
      </c>
      <c r="AE380" s="151">
        <f t="shared" si="116"/>
        <v>0.88969470685430108</v>
      </c>
      <c r="AF380" s="181">
        <f t="shared" si="144"/>
        <v>16027.613535612325</v>
      </c>
      <c r="AG380" s="165">
        <f t="shared" si="117"/>
        <v>-982.16501640000001</v>
      </c>
      <c r="AH380" s="201" t="s">
        <v>143</v>
      </c>
      <c r="AI380" s="201" t="s">
        <v>143</v>
      </c>
      <c r="AJ380" s="201" t="s">
        <v>143</v>
      </c>
      <c r="AK380" s="201" t="s">
        <v>143</v>
      </c>
      <c r="AL380" s="181">
        <f t="shared" si="118"/>
        <v>15045.448519212325</v>
      </c>
      <c r="AM380" s="66"/>
      <c r="AN380" s="101"/>
      <c r="AO380" s="57">
        <v>14</v>
      </c>
      <c r="AP380" s="57" t="s">
        <v>90</v>
      </c>
      <c r="AQ380" s="167">
        <f t="shared" si="131"/>
        <v>15045.448519212325</v>
      </c>
      <c r="AR380" s="151">
        <f t="shared" si="109"/>
        <v>0.88969470685430108</v>
      </c>
      <c r="AS380" s="181">
        <f t="shared" si="146"/>
        <v>16708.50320667601</v>
      </c>
      <c r="AT380" s="165">
        <f t="shared" si="119"/>
        <v>-1095.4669383200001</v>
      </c>
      <c r="AU380" s="201" t="s">
        <v>143</v>
      </c>
      <c r="AV380" s="201" t="s">
        <v>143</v>
      </c>
      <c r="AW380" s="201" t="s">
        <v>143</v>
      </c>
      <c r="AX380" s="201" t="s">
        <v>143</v>
      </c>
      <c r="AY380" s="181">
        <f t="shared" si="120"/>
        <v>15613.036268356011</v>
      </c>
      <c r="AZ380" s="100"/>
      <c r="BA380" s="226"/>
      <c r="BB380" s="57">
        <v>14</v>
      </c>
      <c r="BC380" s="57" t="s">
        <v>90</v>
      </c>
      <c r="BD380" s="167">
        <f t="shared" si="132"/>
        <v>15613.036268356011</v>
      </c>
      <c r="BE380" s="151">
        <f t="shared" si="121"/>
        <v>0.88969470685430108</v>
      </c>
      <c r="BF380" s="181">
        <f t="shared" si="148"/>
        <v>16047.740107178497</v>
      </c>
      <c r="BG380" s="165">
        <f t="shared" si="122"/>
        <v>-1109.25709856</v>
      </c>
      <c r="BH380" s="201" t="s">
        <v>143</v>
      </c>
      <c r="BI380" s="201" t="s">
        <v>143</v>
      </c>
      <c r="BJ380" s="201" t="s">
        <v>143</v>
      </c>
      <c r="BK380" s="201" t="s">
        <v>143</v>
      </c>
      <c r="BL380" s="181">
        <f t="shared" si="123"/>
        <v>14938.483008618497</v>
      </c>
      <c r="BO380" s="57">
        <v>14</v>
      </c>
      <c r="BP380" s="57" t="s">
        <v>90</v>
      </c>
      <c r="BQ380" s="167">
        <f t="shared" si="133"/>
        <v>14938.483008618497</v>
      </c>
      <c r="BR380" s="151">
        <f t="shared" si="124"/>
        <v>0.88969470685430108</v>
      </c>
      <c r="BS380" s="181">
        <f t="shared" si="150"/>
        <v>16151.799906287444</v>
      </c>
      <c r="BT380" s="165">
        <f t="shared" si="125"/>
        <v>-1043.7628079999999</v>
      </c>
      <c r="BU380" s="201" t="s">
        <v>143</v>
      </c>
      <c r="BV380" s="201" t="s">
        <v>143</v>
      </c>
      <c r="BW380" s="201" t="s">
        <v>143</v>
      </c>
      <c r="BX380" s="201" t="s">
        <v>143</v>
      </c>
      <c r="BY380" s="181">
        <f t="shared" si="126"/>
        <v>15108.037098287445</v>
      </c>
      <c r="BZ380" s="226"/>
      <c r="CA380" s="66"/>
      <c r="CB380" s="57">
        <v>15</v>
      </c>
      <c r="CC380" s="57" t="s">
        <v>91</v>
      </c>
      <c r="CD380" s="165">
        <f>Input!I25</f>
        <v>6107</v>
      </c>
      <c r="CE380" s="165">
        <f t="shared" si="110"/>
        <v>12415.518361200793</v>
      </c>
      <c r="CF380" s="223">
        <f t="shared" si="111"/>
        <v>1.0329979304406081</v>
      </c>
      <c r="CG380" s="101"/>
      <c r="CH380" s="101"/>
    </row>
    <row r="381" spans="3:86" x14ac:dyDescent="0.25">
      <c r="C381" s="57">
        <f t="shared" si="106"/>
        <v>15</v>
      </c>
      <c r="D381" s="57" t="str">
        <f t="shared" si="106"/>
        <v xml:space="preserve">70-74 </v>
      </c>
      <c r="E381" s="167">
        <f>Input!I25</f>
        <v>6107</v>
      </c>
      <c r="F381" s="151">
        <f t="shared" si="107"/>
        <v>0.83326997187224294</v>
      </c>
      <c r="G381" s="181">
        <f t="shared" si="127"/>
        <v>8283.947415520397</v>
      </c>
      <c r="H381" s="165">
        <f t="shared" si="128"/>
        <v>-417.26732704</v>
      </c>
      <c r="I381" s="221" t="str">
        <f t="shared" si="152"/>
        <v>--</v>
      </c>
      <c r="J381" s="221" t="str">
        <f t="shared" si="152"/>
        <v>--</v>
      </c>
      <c r="K381" s="166" t="str">
        <f t="shared" si="152"/>
        <v>--</v>
      </c>
      <c r="L381" s="181">
        <f t="shared" si="112"/>
        <v>7866.680088480397</v>
      </c>
      <c r="O381" s="57">
        <v>15</v>
      </c>
      <c r="P381" s="57" t="s">
        <v>91</v>
      </c>
      <c r="Q381" s="167">
        <f t="shared" si="129"/>
        <v>7866.680088480397</v>
      </c>
      <c r="R381" s="151">
        <f t="shared" si="113"/>
        <v>0.83326997187224294</v>
      </c>
      <c r="S381" s="181">
        <f t="shared" si="142"/>
        <v>11363.724510573369</v>
      </c>
      <c r="T381" s="165">
        <f t="shared" si="114"/>
        <v>-521.71079495999993</v>
      </c>
      <c r="U381" s="201" t="s">
        <v>143</v>
      </c>
      <c r="V381" s="201" t="s">
        <v>143</v>
      </c>
      <c r="W381" s="201" t="s">
        <v>143</v>
      </c>
      <c r="X381" s="201" t="s">
        <v>143</v>
      </c>
      <c r="Y381" s="181">
        <f t="shared" si="115"/>
        <v>10842.01371561337</v>
      </c>
      <c r="Z381" s="229"/>
      <c r="AB381" s="57">
        <v>15</v>
      </c>
      <c r="AC381" s="57" t="s">
        <v>91</v>
      </c>
      <c r="AD381" s="167">
        <f t="shared" si="130"/>
        <v>10842.01371561337</v>
      </c>
      <c r="AE381" s="151">
        <f t="shared" si="116"/>
        <v>0.83326997187224294</v>
      </c>
      <c r="AF381" s="181">
        <f t="shared" si="144"/>
        <v>12513.795422930873</v>
      </c>
      <c r="AG381" s="165">
        <f t="shared" si="117"/>
        <v>-678.38499311999999</v>
      </c>
      <c r="AH381" s="201" t="s">
        <v>143</v>
      </c>
      <c r="AI381" s="201" t="s">
        <v>143</v>
      </c>
      <c r="AJ381" s="201" t="s">
        <v>143</v>
      </c>
      <c r="AK381" s="201" t="s">
        <v>143</v>
      </c>
      <c r="AL381" s="181">
        <f t="shared" si="118"/>
        <v>11835.410429810872</v>
      </c>
      <c r="AM381" s="66"/>
      <c r="AN381" s="101"/>
      <c r="AO381" s="57">
        <v>15</v>
      </c>
      <c r="AP381" s="57" t="s">
        <v>91</v>
      </c>
      <c r="AQ381" s="167">
        <f t="shared" si="131"/>
        <v>11835.410429810872</v>
      </c>
      <c r="AR381" s="151">
        <f t="shared" si="109"/>
        <v>0.83326997187224294</v>
      </c>
      <c r="AS381" s="181">
        <f t="shared" si="146"/>
        <v>13385.855909792088</v>
      </c>
      <c r="AT381" s="165">
        <f t="shared" si="119"/>
        <v>-767.25103351999996</v>
      </c>
      <c r="AU381" s="201" t="s">
        <v>143</v>
      </c>
      <c r="AV381" s="201" t="s">
        <v>143</v>
      </c>
      <c r="AW381" s="201" t="s">
        <v>143</v>
      </c>
      <c r="AX381" s="201" t="s">
        <v>143</v>
      </c>
      <c r="AY381" s="181">
        <f t="shared" si="120"/>
        <v>12618.604876272087</v>
      </c>
      <c r="AZ381" s="100"/>
      <c r="BA381" s="226"/>
      <c r="BB381" s="57">
        <v>15</v>
      </c>
      <c r="BC381" s="57" t="s">
        <v>91</v>
      </c>
      <c r="BD381" s="167">
        <f t="shared" si="132"/>
        <v>12618.604876272087</v>
      </c>
      <c r="BE381" s="151">
        <f t="shared" si="121"/>
        <v>0.83326997187224294</v>
      </c>
      <c r="BF381" s="181">
        <f t="shared" si="148"/>
        <v>13890.835725880572</v>
      </c>
      <c r="BG381" s="165">
        <f t="shared" si="122"/>
        <v>-859.96581031999995</v>
      </c>
      <c r="BH381" s="201" t="s">
        <v>143</v>
      </c>
      <c r="BI381" s="201" t="s">
        <v>143</v>
      </c>
      <c r="BJ381" s="201" t="s">
        <v>143</v>
      </c>
      <c r="BK381" s="201" t="s">
        <v>143</v>
      </c>
      <c r="BL381" s="181">
        <f t="shared" si="123"/>
        <v>13030.869915560572</v>
      </c>
      <c r="BO381" s="57">
        <v>15</v>
      </c>
      <c r="BP381" s="57" t="s">
        <v>91</v>
      </c>
      <c r="BQ381" s="167">
        <f t="shared" si="133"/>
        <v>13030.869915560572</v>
      </c>
      <c r="BR381" s="151">
        <f t="shared" si="124"/>
        <v>0.83326997187224294</v>
      </c>
      <c r="BS381" s="181">
        <f t="shared" si="150"/>
        <v>13290.689261200792</v>
      </c>
      <c r="BT381" s="165">
        <f t="shared" si="125"/>
        <v>-875.17089999999996</v>
      </c>
      <c r="BU381" s="201" t="s">
        <v>143</v>
      </c>
      <c r="BV381" s="201" t="s">
        <v>143</v>
      </c>
      <c r="BW381" s="201" t="s">
        <v>143</v>
      </c>
      <c r="BX381" s="201" t="s">
        <v>143</v>
      </c>
      <c r="BY381" s="181">
        <f t="shared" si="126"/>
        <v>12415.518361200793</v>
      </c>
      <c r="BZ381" s="226"/>
      <c r="CA381" s="66"/>
      <c r="CB381" s="57">
        <v>16</v>
      </c>
      <c r="CC381" s="57" t="s">
        <v>92</v>
      </c>
      <c r="CD381" s="165">
        <f>Input!I26</f>
        <v>4182</v>
      </c>
      <c r="CE381" s="165">
        <f t="shared" si="110"/>
        <v>10532.269493410015</v>
      </c>
      <c r="CF381" s="223">
        <f t="shared" si="111"/>
        <v>1.5184766842204722</v>
      </c>
      <c r="CG381" s="101"/>
      <c r="CH381" s="101"/>
    </row>
    <row r="382" spans="3:86" x14ac:dyDescent="0.25">
      <c r="C382" s="57">
        <f t="shared" si="106"/>
        <v>16</v>
      </c>
      <c r="D382" s="57" t="str">
        <f t="shared" si="106"/>
        <v xml:space="preserve">75-79 </v>
      </c>
      <c r="E382" s="167">
        <f>Input!I26</f>
        <v>4182</v>
      </c>
      <c r="F382" s="151">
        <f t="shared" si="107"/>
        <v>0.74277628968638554</v>
      </c>
      <c r="G382" s="181">
        <f t="shared" si="127"/>
        <v>5088.7797182237873</v>
      </c>
      <c r="H382" s="165">
        <f t="shared" si="128"/>
        <v>-136.07891088</v>
      </c>
      <c r="I382" s="221" t="str">
        <f t="shared" si="152"/>
        <v>--</v>
      </c>
      <c r="J382" s="221" t="str">
        <f t="shared" si="152"/>
        <v>--</v>
      </c>
      <c r="K382" s="166" t="str">
        <f t="shared" si="152"/>
        <v>--</v>
      </c>
      <c r="L382" s="181">
        <f t="shared" si="112"/>
        <v>4952.7008073437873</v>
      </c>
      <c r="O382" s="57">
        <v>16</v>
      </c>
      <c r="P382" s="57" t="s">
        <v>92</v>
      </c>
      <c r="Q382" s="167">
        <f t="shared" si="129"/>
        <v>4952.7008073437873</v>
      </c>
      <c r="R382" s="151">
        <f t="shared" si="113"/>
        <v>0.74277628968638554</v>
      </c>
      <c r="S382" s="181">
        <f t="shared" si="142"/>
        <v>6555.0682960559943</v>
      </c>
      <c r="T382" s="165">
        <f t="shared" si="114"/>
        <v>-154.55708899999999</v>
      </c>
      <c r="U382" s="201" t="s">
        <v>143</v>
      </c>
      <c r="V382" s="201" t="s">
        <v>143</v>
      </c>
      <c r="W382" s="201" t="s">
        <v>143</v>
      </c>
      <c r="X382" s="201" t="s">
        <v>143</v>
      </c>
      <c r="Y382" s="181">
        <f t="shared" si="115"/>
        <v>6400.5112070559944</v>
      </c>
      <c r="Z382" s="229"/>
      <c r="AB382" s="57">
        <v>16</v>
      </c>
      <c r="AC382" s="57" t="s">
        <v>92</v>
      </c>
      <c r="AD382" s="167">
        <f t="shared" si="130"/>
        <v>6400.5112070559944</v>
      </c>
      <c r="AE382" s="151">
        <f t="shared" si="116"/>
        <v>0.74277628968638554</v>
      </c>
      <c r="AF382" s="181">
        <f t="shared" si="144"/>
        <v>9034.3244638476244</v>
      </c>
      <c r="AG382" s="165">
        <f t="shared" si="117"/>
        <v>-194.04830079999999</v>
      </c>
      <c r="AH382" s="201" t="s">
        <v>143</v>
      </c>
      <c r="AI382" s="201" t="s">
        <v>143</v>
      </c>
      <c r="AJ382" s="201" t="s">
        <v>143</v>
      </c>
      <c r="AK382" s="201" t="s">
        <v>143</v>
      </c>
      <c r="AL382" s="181">
        <f t="shared" si="118"/>
        <v>8840.2761630476252</v>
      </c>
      <c r="AM382" s="66"/>
      <c r="AN382" s="101"/>
      <c r="AO382" s="57">
        <v>16</v>
      </c>
      <c r="AP382" s="57" t="s">
        <v>92</v>
      </c>
      <c r="AQ382" s="167">
        <f t="shared" si="131"/>
        <v>8840.2761630476252</v>
      </c>
      <c r="AR382" s="151">
        <f t="shared" si="109"/>
        <v>0.74277628968638554</v>
      </c>
      <c r="AS382" s="181">
        <f t="shared" si="146"/>
        <v>9862.0921159449572</v>
      </c>
      <c r="AT382" s="165">
        <f t="shared" si="119"/>
        <v>-253.90220943999998</v>
      </c>
      <c r="AU382" s="201" t="s">
        <v>143</v>
      </c>
      <c r="AV382" s="201" t="s">
        <v>143</v>
      </c>
      <c r="AW382" s="201" t="s">
        <v>143</v>
      </c>
      <c r="AX382" s="201" t="s">
        <v>143</v>
      </c>
      <c r="AY382" s="181">
        <f t="shared" si="120"/>
        <v>9608.1899065049565</v>
      </c>
      <c r="AZ382" s="100"/>
      <c r="BA382" s="226"/>
      <c r="BB382" s="57">
        <v>16</v>
      </c>
      <c r="BC382" s="57" t="s">
        <v>92</v>
      </c>
      <c r="BD382" s="167">
        <f t="shared" si="132"/>
        <v>9608.1899065049565</v>
      </c>
      <c r="BE382" s="151">
        <f t="shared" si="121"/>
        <v>0.74277628968638554</v>
      </c>
      <c r="BF382" s="181">
        <f t="shared" si="148"/>
        <v>10514.704530318189</v>
      </c>
      <c r="BG382" s="165">
        <f t="shared" si="122"/>
        <v>-289.04023943999999</v>
      </c>
      <c r="BH382" s="201" t="s">
        <v>143</v>
      </c>
      <c r="BI382" s="201" t="s">
        <v>143</v>
      </c>
      <c r="BJ382" s="201" t="s">
        <v>143</v>
      </c>
      <c r="BK382" s="201" t="s">
        <v>143</v>
      </c>
      <c r="BL382" s="181">
        <f t="shared" si="123"/>
        <v>10225.664290878189</v>
      </c>
      <c r="BO382" s="57">
        <v>16</v>
      </c>
      <c r="BP382" s="57" t="s">
        <v>92</v>
      </c>
      <c r="BQ382" s="167">
        <f t="shared" si="133"/>
        <v>10225.664290878189</v>
      </c>
      <c r="BR382" s="151">
        <f t="shared" si="124"/>
        <v>0.74277628968638554</v>
      </c>
      <c r="BS382" s="181">
        <f t="shared" si="150"/>
        <v>10858.232608010014</v>
      </c>
      <c r="BT382" s="165">
        <f t="shared" si="125"/>
        <v>-325.96311459999998</v>
      </c>
      <c r="BU382" s="201" t="s">
        <v>143</v>
      </c>
      <c r="BV382" s="201" t="s">
        <v>143</v>
      </c>
      <c r="BW382" s="201" t="s">
        <v>143</v>
      </c>
      <c r="BX382" s="201" t="s">
        <v>143</v>
      </c>
      <c r="BY382" s="181">
        <f t="shared" si="126"/>
        <v>10532.269493410015</v>
      </c>
      <c r="BZ382" s="226"/>
      <c r="CA382" s="66"/>
      <c r="CB382" s="57">
        <v>17</v>
      </c>
      <c r="CC382" s="57" t="s">
        <v>93</v>
      </c>
      <c r="CD382" s="165">
        <f>Input!I27</f>
        <v>3046</v>
      </c>
      <c r="CE382" s="165">
        <f t="shared" si="110"/>
        <v>7293.1370159570661</v>
      </c>
      <c r="CF382" s="223">
        <f t="shared" si="111"/>
        <v>1.3943325725400741</v>
      </c>
      <c r="CG382" s="101"/>
      <c r="CH382" s="101"/>
    </row>
    <row r="383" spans="3:86" x14ac:dyDescent="0.25">
      <c r="C383" s="57">
        <f t="shared" si="106"/>
        <v>17</v>
      </c>
      <c r="D383" s="57" t="str">
        <f t="shared" si="106"/>
        <v xml:space="preserve">80-84 </v>
      </c>
      <c r="E383" s="167">
        <f>Input!I27</f>
        <v>3046</v>
      </c>
      <c r="F383" s="151">
        <f t="shared" si="107"/>
        <v>0.60469408458837726</v>
      </c>
      <c r="G383" s="181">
        <f t="shared" si="127"/>
        <v>3106.2904434684642</v>
      </c>
      <c r="H383" s="165">
        <f t="shared" si="128"/>
        <v>-129.58624352000001</v>
      </c>
      <c r="I383" s="221" t="str">
        <f t="shared" si="152"/>
        <v>--</v>
      </c>
      <c r="J383" s="221" t="str">
        <f t="shared" si="152"/>
        <v>--</v>
      </c>
      <c r="K383" s="166" t="str">
        <f t="shared" si="152"/>
        <v>--</v>
      </c>
      <c r="L383" s="181">
        <f t="shared" si="112"/>
        <v>2976.7041999484641</v>
      </c>
      <c r="O383" s="57">
        <v>17</v>
      </c>
      <c r="P383" s="57" t="s">
        <v>93</v>
      </c>
      <c r="Q383" s="167">
        <f t="shared" si="129"/>
        <v>2976.7041999484641</v>
      </c>
      <c r="R383" s="151">
        <f t="shared" si="113"/>
        <v>0.60469408458837726</v>
      </c>
      <c r="S383" s="181">
        <f t="shared" si="142"/>
        <v>3678.7487296055847</v>
      </c>
      <c r="T383" s="165">
        <f t="shared" si="114"/>
        <v>-136.49487712000001</v>
      </c>
      <c r="U383" s="201" t="s">
        <v>143</v>
      </c>
      <c r="V383" s="201" t="s">
        <v>143</v>
      </c>
      <c r="W383" s="201" t="s">
        <v>143</v>
      </c>
      <c r="X383" s="201" t="s">
        <v>143</v>
      </c>
      <c r="Y383" s="181">
        <f t="shared" si="115"/>
        <v>3542.2538524855845</v>
      </c>
      <c r="Z383" s="229"/>
      <c r="AB383" s="57">
        <v>17</v>
      </c>
      <c r="AC383" s="57" t="s">
        <v>93</v>
      </c>
      <c r="AD383" s="167">
        <f t="shared" si="130"/>
        <v>3542.2538524855845</v>
      </c>
      <c r="AE383" s="151">
        <f t="shared" si="116"/>
        <v>0.60469408458837726</v>
      </c>
      <c r="AF383" s="181">
        <f t="shared" si="144"/>
        <v>4754.1479664731805</v>
      </c>
      <c r="AG383" s="165">
        <f t="shared" si="117"/>
        <v>-157.17282639999999</v>
      </c>
      <c r="AH383" s="201" t="s">
        <v>143</v>
      </c>
      <c r="AI383" s="201" t="s">
        <v>143</v>
      </c>
      <c r="AJ383" s="201" t="s">
        <v>143</v>
      </c>
      <c r="AK383" s="201" t="s">
        <v>143</v>
      </c>
      <c r="AL383" s="181">
        <f t="shared" si="118"/>
        <v>4596.9751400731802</v>
      </c>
      <c r="AM383" s="66"/>
      <c r="AN383" s="101"/>
      <c r="AO383" s="57">
        <v>17</v>
      </c>
      <c r="AP383" s="57" t="s">
        <v>93</v>
      </c>
      <c r="AQ383" s="167">
        <f t="shared" si="131"/>
        <v>4596.9751400731802</v>
      </c>
      <c r="AR383" s="151">
        <f t="shared" si="109"/>
        <v>0.60469408458837726</v>
      </c>
      <c r="AS383" s="181">
        <f t="shared" si="146"/>
        <v>6566.3475281915116</v>
      </c>
      <c r="AT383" s="165">
        <f t="shared" si="119"/>
        <v>-199.30933504000001</v>
      </c>
      <c r="AU383" s="201" t="s">
        <v>143</v>
      </c>
      <c r="AV383" s="201" t="s">
        <v>143</v>
      </c>
      <c r="AW383" s="201" t="s">
        <v>143</v>
      </c>
      <c r="AX383" s="201" t="s">
        <v>143</v>
      </c>
      <c r="AY383" s="181">
        <f t="shared" si="120"/>
        <v>6367.0381931515112</v>
      </c>
      <c r="AZ383" s="100"/>
      <c r="BA383" s="226"/>
      <c r="BB383" s="57">
        <v>17</v>
      </c>
      <c r="BC383" s="57" t="s">
        <v>93</v>
      </c>
      <c r="BD383" s="167">
        <f t="shared" si="132"/>
        <v>6367.0381931515112</v>
      </c>
      <c r="BE383" s="151">
        <f t="shared" si="121"/>
        <v>0.60469408458837726</v>
      </c>
      <c r="BF383" s="181">
        <f t="shared" si="148"/>
        <v>7136.7356493559309</v>
      </c>
      <c r="BG383" s="165">
        <f t="shared" si="122"/>
        <v>-263.22464464000001</v>
      </c>
      <c r="BH383" s="201" t="s">
        <v>143</v>
      </c>
      <c r="BI383" s="201" t="s">
        <v>143</v>
      </c>
      <c r="BJ383" s="201" t="s">
        <v>143</v>
      </c>
      <c r="BK383" s="201" t="s">
        <v>143</v>
      </c>
      <c r="BL383" s="181">
        <f t="shared" si="123"/>
        <v>6873.5110047159305</v>
      </c>
      <c r="BO383" s="57">
        <v>17</v>
      </c>
      <c r="BP383" s="57" t="s">
        <v>93</v>
      </c>
      <c r="BQ383" s="167">
        <f t="shared" si="133"/>
        <v>6873.5110047159305</v>
      </c>
      <c r="BR383" s="151">
        <f t="shared" si="124"/>
        <v>0.60469408458837726</v>
      </c>
      <c r="BS383" s="181">
        <f t="shared" si="150"/>
        <v>7595.3809815570658</v>
      </c>
      <c r="BT383" s="165">
        <f t="shared" si="125"/>
        <v>-302.24396560000002</v>
      </c>
      <c r="BU383" s="201" t="s">
        <v>143</v>
      </c>
      <c r="BV383" s="201" t="s">
        <v>143</v>
      </c>
      <c r="BW383" s="201" t="s">
        <v>143</v>
      </c>
      <c r="BX383" s="201" t="s">
        <v>143</v>
      </c>
      <c r="BY383" s="181">
        <f t="shared" si="126"/>
        <v>7293.1370159570661</v>
      </c>
      <c r="BZ383" s="226"/>
      <c r="CA383" s="66"/>
      <c r="CB383" s="57">
        <v>18</v>
      </c>
      <c r="CC383" s="57" t="s">
        <v>119</v>
      </c>
      <c r="CD383" s="165">
        <f>Input!I28</f>
        <v>2296</v>
      </c>
      <c r="CE383" s="165">
        <f t="shared" si="110"/>
        <v>5380.0716943692923</v>
      </c>
      <c r="CF383" s="223">
        <f t="shared" si="111"/>
        <v>1.3432368006834896</v>
      </c>
      <c r="CG383" s="101"/>
      <c r="CH383" s="101"/>
    </row>
    <row r="384" spans="3:86" x14ac:dyDescent="0.25">
      <c r="C384" s="57">
        <f t="shared" si="106"/>
        <v>18</v>
      </c>
      <c r="D384" s="57" t="str">
        <f t="shared" si="106"/>
        <v xml:space="preserve">85+ </v>
      </c>
      <c r="E384" s="167">
        <f>Input!I28</f>
        <v>2296</v>
      </c>
      <c r="F384" s="232">
        <f t="shared" si="107"/>
        <v>0.35627461584395853</v>
      </c>
      <c r="G384" s="181">
        <f>(E383*F383)+(E384*F384)</f>
        <v>2659.9046996339257</v>
      </c>
      <c r="H384" s="165">
        <f t="shared" si="128"/>
        <v>-179.73746197</v>
      </c>
      <c r="I384" s="221" t="str">
        <f t="shared" si="152"/>
        <v>--</v>
      </c>
      <c r="J384" s="221" t="str">
        <f t="shared" si="152"/>
        <v>--</v>
      </c>
      <c r="K384" s="166" t="str">
        <f t="shared" si="152"/>
        <v>--</v>
      </c>
      <c r="L384" s="181">
        <f t="shared" si="112"/>
        <v>2480.1672376639258</v>
      </c>
      <c r="O384" s="57">
        <v>18</v>
      </c>
      <c r="P384" s="57" t="s">
        <v>119</v>
      </c>
      <c r="Q384" s="167">
        <f t="shared" si="129"/>
        <v>2480.1672376639258</v>
      </c>
      <c r="R384" s="232">
        <f t="shared" si="113"/>
        <v>0.35627461584395853</v>
      </c>
      <c r="S384" s="181">
        <f>(Q383*R383)+(Q384*R384)</f>
        <v>2683.6160511057014</v>
      </c>
      <c r="T384" s="165">
        <f t="shared" si="114"/>
        <v>-218.98962359999999</v>
      </c>
      <c r="U384" s="201" t="s">
        <v>143</v>
      </c>
      <c r="V384" s="201" t="s">
        <v>143</v>
      </c>
      <c r="W384" s="201" t="s">
        <v>143</v>
      </c>
      <c r="X384" s="201" t="s">
        <v>143</v>
      </c>
      <c r="Y384" s="181">
        <f t="shared" si="115"/>
        <v>2464.6264275057015</v>
      </c>
      <c r="Z384" s="229"/>
      <c r="AB384" s="57">
        <v>18</v>
      </c>
      <c r="AC384" s="57" t="s">
        <v>119</v>
      </c>
      <c r="AD384" s="167">
        <f t="shared" si="130"/>
        <v>2464.6264275057015</v>
      </c>
      <c r="AE384" s="151">
        <f t="shared" si="116"/>
        <v>0.35627461584395853</v>
      </c>
      <c r="AF384" s="181">
        <f>(AD383*AE383)+(AD384*AE384)</f>
        <v>3020.0637843668846</v>
      </c>
      <c r="AG384" s="165">
        <f t="shared" si="117"/>
        <v>-244.23290495999998</v>
      </c>
      <c r="AH384" s="201" t="s">
        <v>143</v>
      </c>
      <c r="AI384" s="201" t="s">
        <v>143</v>
      </c>
      <c r="AJ384" s="201" t="s">
        <v>143</v>
      </c>
      <c r="AK384" s="201" t="s">
        <v>143</v>
      </c>
      <c r="AL384" s="181">
        <f t="shared" si="118"/>
        <v>2775.8308794068848</v>
      </c>
      <c r="AM384" s="66"/>
      <c r="AN384" s="101"/>
      <c r="AO384" s="57">
        <v>18</v>
      </c>
      <c r="AP384" s="57" t="s">
        <v>119</v>
      </c>
      <c r="AQ384" s="167">
        <f t="shared" si="131"/>
        <v>2775.8308794068848</v>
      </c>
      <c r="AR384" s="151">
        <f t="shared" si="109"/>
        <v>0.35627461584395853</v>
      </c>
      <c r="AS384" s="181">
        <f>(AQ383*AR383)+(AQ384*AR384)</f>
        <v>3768.7217544105647</v>
      </c>
      <c r="AT384" s="165">
        <f t="shared" si="119"/>
        <v>-281.39170366999997</v>
      </c>
      <c r="AU384" s="201" t="s">
        <v>143</v>
      </c>
      <c r="AV384" s="201" t="s">
        <v>143</v>
      </c>
      <c r="AW384" s="201" t="s">
        <v>143</v>
      </c>
      <c r="AX384" s="201" t="s">
        <v>143</v>
      </c>
      <c r="AY384" s="181">
        <f t="shared" si="120"/>
        <v>3487.3300507405647</v>
      </c>
      <c r="AZ384" s="100"/>
      <c r="BA384" s="226"/>
      <c r="BB384" s="57">
        <v>18</v>
      </c>
      <c r="BC384" s="57" t="s">
        <v>119</v>
      </c>
      <c r="BD384" s="167">
        <f t="shared" si="132"/>
        <v>3487.3300507405647</v>
      </c>
      <c r="BE384" s="151">
        <f t="shared" si="121"/>
        <v>0.35627461584395853</v>
      </c>
      <c r="BF384" s="181">
        <f>(BD383*BE383)+(BD384*BE384)</f>
        <v>5092.5575058956756</v>
      </c>
      <c r="BG384" s="165">
        <f t="shared" si="122"/>
        <v>-351.74091006999998</v>
      </c>
      <c r="BH384" s="201" t="s">
        <v>143</v>
      </c>
      <c r="BI384" s="201" t="s">
        <v>143</v>
      </c>
      <c r="BJ384" s="201" t="s">
        <v>143</v>
      </c>
      <c r="BK384" s="201" t="s">
        <v>143</v>
      </c>
      <c r="BL384" s="181">
        <f t="shared" si="123"/>
        <v>4740.8165958256759</v>
      </c>
      <c r="BO384" s="57">
        <v>18</v>
      </c>
      <c r="BP384" s="57" t="s">
        <v>119</v>
      </c>
      <c r="BQ384" s="167">
        <f t="shared" si="133"/>
        <v>4740.8165958256759</v>
      </c>
      <c r="BR384" s="151">
        <f t="shared" si="124"/>
        <v>0.35627461584395853</v>
      </c>
      <c r="BS384" s="181">
        <f>(BQ383*BR383)+(BQ384*BR384)</f>
        <v>5845.4040563692924</v>
      </c>
      <c r="BT384" s="165">
        <f t="shared" si="125"/>
        <v>-465.33236199999999</v>
      </c>
      <c r="BU384" s="201" t="s">
        <v>143</v>
      </c>
      <c r="BV384" s="201" t="s">
        <v>143</v>
      </c>
      <c r="BW384" s="201" t="s">
        <v>143</v>
      </c>
      <c r="BX384" s="201" t="s">
        <v>143</v>
      </c>
      <c r="BY384" s="181">
        <f t="shared" si="126"/>
        <v>5380.0716943692923</v>
      </c>
      <c r="BZ384" s="226"/>
      <c r="CA384" s="66"/>
      <c r="CB384" s="170" t="s">
        <v>17</v>
      </c>
      <c r="CC384" s="72" t="s">
        <v>95</v>
      </c>
      <c r="CD384" s="192">
        <f>SUM(CD366:CD383)</f>
        <v>331355</v>
      </c>
      <c r="CE384" s="233">
        <f>SUM(CE366:CE383)</f>
        <v>373790.36411595973</v>
      </c>
      <c r="CF384" s="234">
        <f t="shared" si="111"/>
        <v>0.12806616503737603</v>
      </c>
      <c r="CG384" s="101"/>
      <c r="CH384" s="101"/>
    </row>
    <row r="385" spans="3:88" x14ac:dyDescent="0.25">
      <c r="C385" s="170" t="str">
        <f t="shared" si="106"/>
        <v>Total</v>
      </c>
      <c r="D385" s="170" t="str">
        <f t="shared" si="106"/>
        <v>---</v>
      </c>
      <c r="E385" s="169">
        <f>SUM(E367:E384)</f>
        <v>331355</v>
      </c>
      <c r="F385" s="72" t="s">
        <v>95</v>
      </c>
      <c r="G385" s="169">
        <f>SUM(G367:G384)</f>
        <v>348034.42398228211</v>
      </c>
      <c r="H385" s="169">
        <f>SUM(H367:H384)</f>
        <v>-6142.510431900002</v>
      </c>
      <c r="I385" s="242" t="str">
        <f>H296</f>
        <v>--</v>
      </c>
      <c r="J385" s="242" t="str">
        <f>I296</f>
        <v>--</v>
      </c>
      <c r="K385" s="192">
        <f>SUM(K369:K376)</f>
        <v>27559</v>
      </c>
      <c r="L385" s="192">
        <f>SUM(L367:L384)</f>
        <v>341891.91355038207</v>
      </c>
      <c r="O385" s="170" t="s">
        <v>17</v>
      </c>
      <c r="P385" s="170" t="s">
        <v>95</v>
      </c>
      <c r="Q385" s="169">
        <f>SUM(Q367:Q367)</f>
        <v>25479.954819260001</v>
      </c>
      <c r="R385" s="72" t="s">
        <v>95</v>
      </c>
      <c r="S385" s="169">
        <f>SUM(S367:S367)</f>
        <v>27517.401645999998</v>
      </c>
      <c r="T385" s="169">
        <f>SUM(T367:T367)</f>
        <v>-1864.6539281600001</v>
      </c>
      <c r="U385" s="204" t="s">
        <v>143</v>
      </c>
      <c r="V385" s="204" t="s">
        <v>143</v>
      </c>
      <c r="W385" s="204" t="s">
        <v>143</v>
      </c>
      <c r="X385" s="192">
        <f>SUM(X369:X376)</f>
        <v>27713</v>
      </c>
      <c r="Y385" s="192">
        <f>SUM(Y367:Y384)</f>
        <v>351397.14133423578</v>
      </c>
      <c r="Z385" s="229"/>
      <c r="AB385" s="170" t="s">
        <v>17</v>
      </c>
      <c r="AC385" s="72" t="s">
        <v>95</v>
      </c>
      <c r="AD385" s="169">
        <f>SUM(AD367:AD384)</f>
        <v>351397.14133423578</v>
      </c>
      <c r="AE385" s="72" t="s">
        <v>95</v>
      </c>
      <c r="AF385" s="169">
        <f>SUM(AF367:AF384)</f>
        <v>366220.28907722275</v>
      </c>
      <c r="AG385" s="169">
        <f>SUM(AG367:AG384)</f>
        <v>-6800.2083514800015</v>
      </c>
      <c r="AH385" s="204" t="s">
        <v>143</v>
      </c>
      <c r="AI385" s="204" t="s">
        <v>143</v>
      </c>
      <c r="AJ385" s="204" t="s">
        <v>143</v>
      </c>
      <c r="AK385" s="192">
        <f>SUM(AK369:AK376)</f>
        <v>28200</v>
      </c>
      <c r="AL385" s="192">
        <f>SUM(AL367:AL384)</f>
        <v>359420.0807257428</v>
      </c>
      <c r="AM385" s="74"/>
      <c r="AN385" s="100"/>
      <c r="AO385" s="170" t="s">
        <v>17</v>
      </c>
      <c r="AP385" s="72" t="s">
        <v>95</v>
      </c>
      <c r="AQ385" s="169">
        <f>SUM(AQ367:AQ384)</f>
        <v>359420.0807257428</v>
      </c>
      <c r="AR385" s="72" t="s">
        <v>95</v>
      </c>
      <c r="AS385" s="169">
        <f>SUM(AS367:AS384)</f>
        <v>373342.46043500735</v>
      </c>
      <c r="AT385" s="169">
        <f>SUM(AT367:AT384)</f>
        <v>-7664.5323201100018</v>
      </c>
      <c r="AU385" s="204" t="s">
        <v>143</v>
      </c>
      <c r="AV385" s="204" t="s">
        <v>143</v>
      </c>
      <c r="AW385" s="204" t="s">
        <v>143</v>
      </c>
      <c r="AX385" s="192">
        <f>SUM(AX369:AX376)</f>
        <v>28827</v>
      </c>
      <c r="AY385" s="192">
        <f>SUM(AY367:AY384)</f>
        <v>365677.92811489746</v>
      </c>
      <c r="AZ385" s="100"/>
      <c r="BA385" s="100"/>
      <c r="BB385" s="170" t="s">
        <v>17</v>
      </c>
      <c r="BC385" s="72" t="s">
        <v>95</v>
      </c>
      <c r="BD385" s="169">
        <f>SUM(BD367:BD384)</f>
        <v>365677.92811489746</v>
      </c>
      <c r="BE385" s="72" t="s">
        <v>95</v>
      </c>
      <c r="BF385" s="169">
        <f>SUM(BF367:BF384)</f>
        <v>378668.59415514016</v>
      </c>
      <c r="BG385" s="169">
        <f>SUM(BG367:BG384)</f>
        <v>-8347.9345817800004</v>
      </c>
      <c r="BH385" s="204" t="s">
        <v>143</v>
      </c>
      <c r="BI385" s="204" t="s">
        <v>143</v>
      </c>
      <c r="BJ385" s="204" t="s">
        <v>143</v>
      </c>
      <c r="BK385" s="192">
        <f>SUM(BK369:BK376)</f>
        <v>29369</v>
      </c>
      <c r="BL385" s="192">
        <f>SUM(BL367:BL384)</f>
        <v>370320.65957336011</v>
      </c>
      <c r="BO385" s="170" t="s">
        <v>17</v>
      </c>
      <c r="BP385" s="72" t="s">
        <v>95</v>
      </c>
      <c r="BQ385" s="169">
        <f>SUM(BQ367:BQ384)</f>
        <v>370320.65957336011</v>
      </c>
      <c r="BR385" s="72" t="s">
        <v>95</v>
      </c>
      <c r="BS385" s="169">
        <f>SUM(BS367:BS384)</f>
        <v>382606.77868339967</v>
      </c>
      <c r="BT385" s="169">
        <f>SUM(BT367:BT384)</f>
        <v>-8816.4145674400006</v>
      </c>
      <c r="BU385" s="204" t="s">
        <v>143</v>
      </c>
      <c r="BV385" s="204" t="s">
        <v>143</v>
      </c>
      <c r="BW385" s="204" t="s">
        <v>143</v>
      </c>
      <c r="BX385" s="192">
        <f>SUM(BX369:BX376)</f>
        <v>29787</v>
      </c>
      <c r="BY385" s="192">
        <f>SUM(BY367:BY384)</f>
        <v>373790.36411595973</v>
      </c>
      <c r="BZ385" s="100"/>
      <c r="CA385" s="66"/>
      <c r="CG385" s="100"/>
      <c r="CH385" s="100"/>
      <c r="CI385" s="100"/>
      <c r="CJ385" s="100"/>
    </row>
    <row r="387" spans="3:88" x14ac:dyDescent="0.25">
      <c r="G387" s="37"/>
    </row>
    <row r="388" spans="3:88" x14ac:dyDescent="0.25">
      <c r="D388" s="25" t="s">
        <v>160</v>
      </c>
    </row>
    <row r="390" spans="3:88" x14ac:dyDescent="0.25">
      <c r="D390" s="113" t="str">
        <f>"PM{2}^"&amp;launch.year+5&amp;" = "</f>
        <v xml:space="preserve">PM{2}^2015 = </v>
      </c>
      <c r="E390" s="25" t="str">
        <f>"PM{1}^"&amp;launch.year&amp;" X s{1,2}^{"&amp;launch.year&amp;","&amp;launch.year+5&amp;"}"</f>
        <v>PM{1}^2010 X s{1,2}^{2010,2015}</v>
      </c>
    </row>
    <row r="391" spans="3:88" x14ac:dyDescent="0.25">
      <c r="D391" s="134" t="s">
        <v>136</v>
      </c>
      <c r="E391" s="133" t="str">
        <f>TEXT($E$367,"#,###")&amp;" X "&amp;TEXT($F$367,"#0.000#")</f>
        <v>25,856 X 0.9988</v>
      </c>
    </row>
    <row r="392" spans="3:88" x14ac:dyDescent="0.25">
      <c r="D392" s="134" t="s">
        <v>136</v>
      </c>
      <c r="E392" s="171">
        <f>$E$367*$F$367</f>
        <v>25826.002163268346</v>
      </c>
    </row>
    <row r="394" spans="3:88" x14ac:dyDescent="0.25">
      <c r="D394" s="113" t="str">
        <f>"PM{18}^"&amp;launch.year+5&amp;" = "</f>
        <v xml:space="preserve">PM{18}^2015 = </v>
      </c>
      <c r="E394" s="164" t="str">
        <f>"( PM{17}^"&amp;launch.year&amp;" X s{17,18}^{"&amp;launch.year&amp;","&amp;launch.year+5&amp;"} ) +( PM{18}^"&amp;launch.year&amp;" X s{18,18}^{"&amp;launch.year&amp;","&amp;launch.year+5&amp;"} )"</f>
        <v>( PM{17}^2010 X s{17,18}^{2010,2015} ) +( PM{18}^2010 X s{18,18}^{2010,2015} )</v>
      </c>
    </row>
    <row r="395" spans="3:88" x14ac:dyDescent="0.25">
      <c r="D395" s="134" t="s">
        <v>136</v>
      </c>
      <c r="E395" s="133" t="str">
        <f>"( "&amp;TEXT($E$383,"#,###")&amp;" X "&amp;TEXT($F$383,"#0.###0")&amp;") + ("&amp;TEXT($E$384,"#,###")&amp;" X "&amp;TEXT($F$384,"#0.000#")&amp;" )"</f>
        <v>( 3,046 X 0.6047) + (2,296 X 0.3563 )</v>
      </c>
    </row>
    <row r="396" spans="3:88" x14ac:dyDescent="0.25">
      <c r="D396" s="134" t="s">
        <v>136</v>
      </c>
      <c r="E396" s="171">
        <f>($E$383*$F$383)+($E$384*$F$384)</f>
        <v>2659.9046996339257</v>
      </c>
    </row>
    <row r="398" spans="3:88" x14ac:dyDescent="0.25">
      <c r="D398" s="25" t="s">
        <v>161</v>
      </c>
    </row>
    <row r="400" spans="3:88" x14ac:dyDescent="0.25">
      <c r="D400" s="113" t="str">
        <f>"PM{2}^"&amp;launch.year+5&amp;" = "</f>
        <v xml:space="preserve">PM{2}^2015 = </v>
      </c>
      <c r="E400" s="25" t="str">
        <f>"PM{2}^"&amp;launch.year&amp;" + NMM{2}^{"&amp;launch.year&amp;","&amp;launch.year+5&amp;"}"</f>
        <v>PM{2}^2010 + NMM{2}^{2010,2015}</v>
      </c>
    </row>
    <row r="401" spans="4:5" x14ac:dyDescent="0.25">
      <c r="D401" s="134" t="s">
        <v>136</v>
      </c>
      <c r="E401" s="171" t="str">
        <f>TEXT($G$368,"#,###")&amp;" + ("&amp;TEXT($H$368,"#,###")&amp;")"</f>
        <v>25,826 + (-1,373)</v>
      </c>
    </row>
    <row r="402" spans="4:5" x14ac:dyDescent="0.25">
      <c r="D402" s="134" t="s">
        <v>136</v>
      </c>
      <c r="E402" s="171">
        <f>$G$368+$H$368</f>
        <v>24453.323190708346</v>
      </c>
    </row>
    <row r="404" spans="4:5" x14ac:dyDescent="0.25">
      <c r="D404" s="25" t="s">
        <v>162</v>
      </c>
    </row>
    <row r="406" spans="4:5" x14ac:dyDescent="0.25">
      <c r="D406" s="113" t="str">
        <f>"BM{3}^{"&amp;launch.year&amp;","&amp;launch.year+5&amp;"} = "</f>
        <v xml:space="preserve">BM{3}^{2010,2015} = </v>
      </c>
      <c r="E406" s="25" t="str">
        <f>"[ ( PF{3}^"&amp;launch.year&amp;" + PF{3}^"&amp;launch.year+5&amp;"  )  / 2 ] X [ ( ffm3}^{"&amp;launch.year&amp;","&amp;launch.year+5&amp;"} + fm{3}^{"&amp;launch.year+5&amp;","&amp;launch.year+10&amp;"} ) / 2 ]"</f>
        <v>[ ( PF{3}^2010 + PF{3}^2015  )  / 2 ] X [ ( ffm3}^{2010,2015} + fm{3}^{2015,2020} ) / 2 ]</v>
      </c>
    </row>
    <row r="407" spans="4:5" x14ac:dyDescent="0.25">
      <c r="D407" s="134" t="s">
        <v>108</v>
      </c>
      <c r="E407" s="133" t="str">
        <f>"[ ( "&amp;TEXT($F$280,"#,###")&amp;" +"&amp;TEXT($K$280,"#,###")&amp;" ) / 2 ] X [ ( "&amp;TEXT($J$369,"#0.###0")&amp;" + "&amp;TEXT($I$369,"#0.###0")&amp;" ) / 2 ]"</f>
        <v>[ ( 22,169 +21,553 ) / 2 ] X [ ( 0.0542 + 0.0542 ) / 2 ]</v>
      </c>
    </row>
    <row r="408" spans="4:5" x14ac:dyDescent="0.25">
      <c r="D408" s="134" t="s">
        <v>136</v>
      </c>
      <c r="E408" s="171">
        <f>(($D$280+$K$280)/2)*(($J$369+$I$369)/2)</f>
        <v>1148.9160182004068</v>
      </c>
    </row>
    <row r="410" spans="4:5" x14ac:dyDescent="0.25">
      <c r="D410" s="133" t="s">
        <v>163</v>
      </c>
    </row>
    <row r="412" spans="4:5" x14ac:dyDescent="0.25">
      <c r="D412" s="113" t="str">
        <f>"PM{1)^"&amp;launch.year+5&amp;" = "</f>
        <v xml:space="preserve">PM{1)^2015 = </v>
      </c>
      <c r="E412" s="25" t="str">
        <f>"[ BM^{"&amp;launch.year&amp;","&amp;launch.year+5&amp;"} X s{0,1}^{"&amp;launch.year&amp;","&amp;launch.year+5&amp;"}] + NMM{1}^{"&amp;launch.year&amp;","&amp;launch.year+5&amp;"}"</f>
        <v>[ BM^{2010,2015} X s{0,1}^{2010,2015}] + NMM{1}^{2010,2015}</v>
      </c>
    </row>
    <row r="413" spans="4:5" x14ac:dyDescent="0.25">
      <c r="D413" s="134" t="s">
        <v>136</v>
      </c>
      <c r="E413" s="133" t="str">
        <f>"( "&amp;TEXT($K$385,"#,###")&amp;" X "&amp;TEXT($F$366,"#0.###0")&amp;" ) + "&amp;TEXT($H$367,"##,###")</f>
        <v>( 27,559 X 0.9929 ) + -1,885</v>
      </c>
    </row>
    <row r="414" spans="4:5" x14ac:dyDescent="0.25">
      <c r="D414" s="134" t="s">
        <v>136</v>
      </c>
      <c r="E414" s="171">
        <f>($K$385*$F$366)+$H$367</f>
        <v>25479.954819260001</v>
      </c>
    </row>
    <row r="417" spans="3:18" x14ac:dyDescent="0.25">
      <c r="C417" s="208" t="str">
        <f>"Population by Age with Constant Rates: "&amp;study.area&amp;", "&amp;launch.year&amp;" to "&amp;launch.year+30</f>
        <v>Population by Age with Constant Rates: DeKalb County, 2010 to 2040</v>
      </c>
    </row>
    <row r="418" spans="3:18" ht="15.75" thickBot="1" x14ac:dyDescent="0.3"/>
    <row r="419" spans="3:18" x14ac:dyDescent="0.25">
      <c r="C419" s="38" t="s">
        <v>6</v>
      </c>
      <c r="D419" s="39" t="s">
        <v>7</v>
      </c>
      <c r="E419" s="40">
        <f>launch.year</f>
        <v>2010</v>
      </c>
      <c r="F419" s="41"/>
      <c r="G419" s="40">
        <f>E419+5</f>
        <v>2015</v>
      </c>
      <c r="H419" s="44"/>
      <c r="I419" s="40">
        <f>G419+5</f>
        <v>2020</v>
      </c>
      <c r="J419" s="41"/>
      <c r="K419" s="40">
        <f>I419+5</f>
        <v>2025</v>
      </c>
      <c r="L419" s="41"/>
      <c r="M419" s="44">
        <f>K419+5</f>
        <v>2030</v>
      </c>
      <c r="N419" s="44"/>
      <c r="O419" s="40">
        <f>M419+5</f>
        <v>2035</v>
      </c>
      <c r="P419" s="41"/>
      <c r="Q419" s="44">
        <f>O419+5</f>
        <v>2040</v>
      </c>
      <c r="R419" s="41"/>
    </row>
    <row r="420" spans="3:18" x14ac:dyDescent="0.25">
      <c r="C420" s="52"/>
      <c r="D420" s="53"/>
      <c r="E420" s="54" t="s">
        <v>20</v>
      </c>
      <c r="F420" s="55" t="s">
        <v>21</v>
      </c>
      <c r="G420" s="54" t="s">
        <v>20</v>
      </c>
      <c r="H420" s="243" t="s">
        <v>21</v>
      </c>
      <c r="I420" s="54" t="s">
        <v>20</v>
      </c>
      <c r="J420" s="55" t="s">
        <v>21</v>
      </c>
      <c r="K420" s="54" t="s">
        <v>20</v>
      </c>
      <c r="L420" s="55" t="s">
        <v>21</v>
      </c>
      <c r="M420" s="244" t="s">
        <v>20</v>
      </c>
      <c r="N420" s="243" t="s">
        <v>21</v>
      </c>
      <c r="O420" s="54" t="s">
        <v>20</v>
      </c>
      <c r="P420" s="55" t="s">
        <v>21</v>
      </c>
      <c r="Q420" s="54" t="s">
        <v>20</v>
      </c>
      <c r="R420" s="55" t="s">
        <v>21</v>
      </c>
    </row>
    <row r="421" spans="3:18" x14ac:dyDescent="0.25">
      <c r="C421" s="68" t="s">
        <v>9</v>
      </c>
      <c r="D421" s="69" t="s">
        <v>10</v>
      </c>
      <c r="E421" s="68" t="s">
        <v>11</v>
      </c>
      <c r="F421" s="70" t="s">
        <v>12</v>
      </c>
      <c r="G421" s="68" t="s">
        <v>13</v>
      </c>
      <c r="H421" s="69" t="s">
        <v>14</v>
      </c>
      <c r="I421" s="68" t="s">
        <v>15</v>
      </c>
      <c r="J421" s="70" t="s">
        <v>16</v>
      </c>
      <c r="K421" s="68" t="s">
        <v>18</v>
      </c>
      <c r="L421" s="70" t="s">
        <v>19</v>
      </c>
      <c r="M421" s="245" t="s">
        <v>30</v>
      </c>
      <c r="N421" s="69" t="s">
        <v>167</v>
      </c>
      <c r="O421" s="68" t="s">
        <v>168</v>
      </c>
      <c r="P421" s="70" t="s">
        <v>169</v>
      </c>
      <c r="Q421" s="68" t="s">
        <v>170</v>
      </c>
      <c r="R421" s="70" t="s">
        <v>171</v>
      </c>
    </row>
    <row r="422" spans="3:18" x14ac:dyDescent="0.25">
      <c r="C422" s="56">
        <v>1</v>
      </c>
      <c r="D422" s="53" t="s">
        <v>38</v>
      </c>
      <c r="E422" s="246">
        <f>Input!I11</f>
        <v>25856</v>
      </c>
      <c r="F422" s="247">
        <f>Input!J11</f>
        <v>24551</v>
      </c>
      <c r="G422" s="165">
        <f t="shared" ref="G422:G439" si="153">L367</f>
        <v>25479.954819260001</v>
      </c>
      <c r="H422" s="248">
        <f t="shared" ref="H422:H439" si="154">K278</f>
        <v>24245.642771981347</v>
      </c>
      <c r="I422" s="150">
        <f t="shared" ref="I422:I439" si="155">Y367</f>
        <v>25652.747717839997</v>
      </c>
      <c r="J422" s="149">
        <f t="shared" ref="J422:J439" si="156">W278</f>
        <v>24410.635038462435</v>
      </c>
      <c r="K422" s="150">
        <f t="shared" ref="K422:K439" si="157">AL367</f>
        <v>26079.7700415</v>
      </c>
      <c r="L422" s="149">
        <f t="shared" ref="L422:L439" si="158">AJ278</f>
        <v>24819.674171502098</v>
      </c>
      <c r="M422" s="249">
        <f t="shared" ref="M422:M439" si="159">AY367</f>
        <v>26660.981793360002</v>
      </c>
      <c r="N422" s="248">
        <f t="shared" ref="N422:N439" si="160">AW278</f>
        <v>25372.343927906386</v>
      </c>
      <c r="O422" s="150">
        <f t="shared" ref="O422:O439" si="161">BL367</f>
        <v>27183.44793282</v>
      </c>
      <c r="P422" s="149">
        <f t="shared" ref="P422:P439" si="162">BJ278</f>
        <v>25869.104803363869</v>
      </c>
      <c r="Q422" s="150">
        <f t="shared" ref="Q422:Q439" si="163">CE366</f>
        <v>27590.047130939998</v>
      </c>
      <c r="R422" s="149">
        <f t="shared" ref="R422:R439" si="164">CC277</f>
        <v>26256.677959919129</v>
      </c>
    </row>
    <row r="423" spans="3:18" x14ac:dyDescent="0.25">
      <c r="C423" s="56">
        <v>2</v>
      </c>
      <c r="D423" s="83" t="s">
        <v>39</v>
      </c>
      <c r="E423" s="250">
        <f>Input!I12</f>
        <v>23110</v>
      </c>
      <c r="F423" s="149">
        <f>Input!J12</f>
        <v>22180</v>
      </c>
      <c r="G423" s="165">
        <f t="shared" si="153"/>
        <v>24453.323190708346</v>
      </c>
      <c r="H423" s="248">
        <f t="shared" si="154"/>
        <v>23335.991518011288</v>
      </c>
      <c r="I423" s="150">
        <f t="shared" si="155"/>
        <v>24070.018303304347</v>
      </c>
      <c r="J423" s="149">
        <f t="shared" si="156"/>
        <v>23024.422033105522</v>
      </c>
      <c r="K423" s="150">
        <f t="shared" si="157"/>
        <v>24254.20478801131</v>
      </c>
      <c r="L423" s="149">
        <f t="shared" si="158"/>
        <v>23201.347073039993</v>
      </c>
      <c r="M423" s="249">
        <f t="shared" si="159"/>
        <v>24639.061301474663</v>
      </c>
      <c r="N423" s="248">
        <f t="shared" si="160"/>
        <v>23574.112672514744</v>
      </c>
      <c r="O423" s="150">
        <f t="shared" si="161"/>
        <v>25188.652402599455</v>
      </c>
      <c r="P423" s="149">
        <f t="shared" si="162"/>
        <v>24099.496515130813</v>
      </c>
      <c r="Q423" s="150">
        <f t="shared" si="163"/>
        <v>25698.227072474703</v>
      </c>
      <c r="R423" s="149">
        <f t="shared" si="164"/>
        <v>24585.158045417571</v>
      </c>
    </row>
    <row r="424" spans="3:18" x14ac:dyDescent="0.25">
      <c r="C424" s="56">
        <v>3</v>
      </c>
      <c r="D424" s="83" t="s">
        <v>40</v>
      </c>
      <c r="E424" s="250">
        <f>Input!I13</f>
        <v>21915</v>
      </c>
      <c r="F424" s="149">
        <f>Input!J13</f>
        <v>20882</v>
      </c>
      <c r="G424" s="165">
        <f t="shared" si="153"/>
        <v>22526.98891717572</v>
      </c>
      <c r="H424" s="248">
        <f t="shared" si="154"/>
        <v>21552.571309340972</v>
      </c>
      <c r="I424" s="150">
        <f t="shared" si="155"/>
        <v>23873.158648804707</v>
      </c>
      <c r="J424" s="149">
        <f t="shared" si="156"/>
        <v>22709.374579226453</v>
      </c>
      <c r="K424" s="150">
        <f t="shared" si="157"/>
        <v>23486.223770165347</v>
      </c>
      <c r="L424" s="149">
        <f t="shared" si="158"/>
        <v>22393.444907611349</v>
      </c>
      <c r="M424" s="249">
        <f t="shared" si="159"/>
        <v>23674.855249954573</v>
      </c>
      <c r="N424" s="248">
        <f t="shared" si="160"/>
        <v>22576.107857439518</v>
      </c>
      <c r="O424" s="150">
        <f t="shared" si="161"/>
        <v>24042.191329445646</v>
      </c>
      <c r="P424" s="149">
        <f t="shared" si="162"/>
        <v>22930.020771578991</v>
      </c>
      <c r="Q424" s="150">
        <f t="shared" si="163"/>
        <v>24578.572368901769</v>
      </c>
      <c r="R424" s="149">
        <f t="shared" si="164"/>
        <v>23441.169328345943</v>
      </c>
    </row>
    <row r="425" spans="3:18" x14ac:dyDescent="0.25">
      <c r="C425" s="56">
        <v>4</v>
      </c>
      <c r="D425" s="86" t="s">
        <v>41</v>
      </c>
      <c r="E425" s="250">
        <f>Input!I14</f>
        <v>22737</v>
      </c>
      <c r="F425" s="149">
        <f>Input!J14</f>
        <v>21906</v>
      </c>
      <c r="G425" s="165">
        <f t="shared" si="153"/>
        <v>23122.506322257595</v>
      </c>
      <c r="H425" s="248">
        <f t="shared" si="154"/>
        <v>22732.771952910705</v>
      </c>
      <c r="I425" s="150">
        <f t="shared" si="155"/>
        <v>23676.993099429415</v>
      </c>
      <c r="J425" s="149">
        <f t="shared" si="156"/>
        <v>23325.626649444908</v>
      </c>
      <c r="K425" s="150">
        <f t="shared" si="157"/>
        <v>25015.304201033381</v>
      </c>
      <c r="L425" s="149">
        <f t="shared" si="158"/>
        <v>24481.656073225116</v>
      </c>
      <c r="M425" s="249">
        <f t="shared" si="159"/>
        <v>24638.671352725654</v>
      </c>
      <c r="N425" s="248">
        <f t="shared" si="160"/>
        <v>24180.951564780004</v>
      </c>
      <c r="O425" s="150">
        <f t="shared" si="161"/>
        <v>24818.775930499993</v>
      </c>
      <c r="P425" s="149">
        <f t="shared" si="162"/>
        <v>24348.495035662661</v>
      </c>
      <c r="Q425" s="150">
        <f t="shared" si="163"/>
        <v>25222.032351407081</v>
      </c>
      <c r="R425" s="149">
        <f t="shared" si="164"/>
        <v>24756.845520263789</v>
      </c>
    </row>
    <row r="426" spans="3:18" x14ac:dyDescent="0.25">
      <c r="C426" s="56">
        <v>5</v>
      </c>
      <c r="D426" s="86" t="s">
        <v>42</v>
      </c>
      <c r="E426" s="250">
        <f>Input!I15</f>
        <v>25555</v>
      </c>
      <c r="F426" s="149">
        <f>Input!J15</f>
        <v>26144</v>
      </c>
      <c r="G426" s="165">
        <f t="shared" si="153"/>
        <v>27170.480510245121</v>
      </c>
      <c r="H426" s="248">
        <f t="shared" si="154"/>
        <v>27507.960110969227</v>
      </c>
      <c r="I426" s="150">
        <f t="shared" si="155"/>
        <v>27828.160291220815</v>
      </c>
      <c r="J426" s="149">
        <f t="shared" si="156"/>
        <v>28594.572393528291</v>
      </c>
      <c r="K426" s="150">
        <f t="shared" si="157"/>
        <v>28223.699457801067</v>
      </c>
      <c r="L426" s="149">
        <f t="shared" si="158"/>
        <v>29024.768773807635</v>
      </c>
      <c r="M426" s="249">
        <f t="shared" si="159"/>
        <v>29551.32907903452</v>
      </c>
      <c r="N426" s="248">
        <f t="shared" si="160"/>
        <v>30193.622814796676</v>
      </c>
      <c r="O426" s="150">
        <f t="shared" si="161"/>
        <v>29223.583320963637</v>
      </c>
      <c r="P426" s="149">
        <f t="shared" si="162"/>
        <v>29950.970906484494</v>
      </c>
      <c r="Q426" s="150">
        <f t="shared" si="163"/>
        <v>29382.314393533634</v>
      </c>
      <c r="R426" s="149">
        <f t="shared" si="164"/>
        <v>30082.635810776977</v>
      </c>
    </row>
    <row r="427" spans="3:18" x14ac:dyDescent="0.25">
      <c r="C427" s="56">
        <v>6</v>
      </c>
      <c r="D427" s="86" t="s">
        <v>43</v>
      </c>
      <c r="E427" s="250">
        <f>Input!I16</f>
        <v>29422</v>
      </c>
      <c r="F427" s="149">
        <f>Input!J16</f>
        <v>31514</v>
      </c>
      <c r="G427" s="165">
        <f t="shared" si="153"/>
        <v>28217.12116549573</v>
      </c>
      <c r="H427" s="248">
        <f t="shared" si="154"/>
        <v>29103.084834244262</v>
      </c>
      <c r="I427" s="150">
        <f t="shared" si="155"/>
        <v>30037.971899137534</v>
      </c>
      <c r="J427" s="149">
        <f t="shared" si="156"/>
        <v>30625.521797202433</v>
      </c>
      <c r="K427" s="150">
        <f t="shared" si="157"/>
        <v>30881.462517940996</v>
      </c>
      <c r="L427" s="149">
        <f t="shared" si="158"/>
        <v>31863.894787769681</v>
      </c>
      <c r="M427" s="249">
        <f t="shared" si="159"/>
        <v>31182.960327464531</v>
      </c>
      <c r="N427" s="248">
        <f t="shared" si="160"/>
        <v>32213.165431947848</v>
      </c>
      <c r="O427" s="150">
        <f t="shared" si="161"/>
        <v>32507.746217182761</v>
      </c>
      <c r="P427" s="149">
        <f t="shared" si="162"/>
        <v>33394.549526272065</v>
      </c>
      <c r="Q427" s="150">
        <f t="shared" si="163"/>
        <v>32219.777271335704</v>
      </c>
      <c r="R427" s="149">
        <f t="shared" si="164"/>
        <v>33190.150360972308</v>
      </c>
    </row>
    <row r="428" spans="3:18" x14ac:dyDescent="0.25">
      <c r="C428" s="56">
        <v>7</v>
      </c>
      <c r="D428" s="86" t="s">
        <v>44</v>
      </c>
      <c r="E428" s="250">
        <f>Input!I17</f>
        <v>28134</v>
      </c>
      <c r="F428" s="149">
        <f>Input!J17</f>
        <v>29579</v>
      </c>
      <c r="G428" s="165">
        <f t="shared" si="153"/>
        <v>28576.269880839809</v>
      </c>
      <c r="H428" s="248">
        <f t="shared" si="154"/>
        <v>30206.758511626813</v>
      </c>
      <c r="I428" s="150">
        <f t="shared" si="155"/>
        <v>27321.646228815327</v>
      </c>
      <c r="J428" s="149">
        <f t="shared" si="156"/>
        <v>27708.47111795019</v>
      </c>
      <c r="K428" s="150">
        <f t="shared" si="157"/>
        <v>29073.792338216106</v>
      </c>
      <c r="L428" s="149">
        <f t="shared" si="158"/>
        <v>29149.270912412227</v>
      </c>
      <c r="M428" s="249">
        <f t="shared" si="159"/>
        <v>29864.732220803664</v>
      </c>
      <c r="N428" s="248">
        <f t="shared" si="160"/>
        <v>30316.747292811309</v>
      </c>
      <c r="O428" s="150">
        <f t="shared" si="161"/>
        <v>30184.314206810308</v>
      </c>
      <c r="P428" s="149">
        <f t="shared" si="162"/>
        <v>30695.972743690905</v>
      </c>
      <c r="Q428" s="150">
        <f t="shared" si="163"/>
        <v>31496.840265778534</v>
      </c>
      <c r="R428" s="149">
        <f t="shared" si="164"/>
        <v>31864.972043437818</v>
      </c>
    </row>
    <row r="429" spans="3:18" x14ac:dyDescent="0.25">
      <c r="C429" s="56">
        <v>8</v>
      </c>
      <c r="D429" s="86" t="s">
        <v>45</v>
      </c>
      <c r="E429" s="250">
        <f>Input!I18</f>
        <v>27346</v>
      </c>
      <c r="F429" s="149">
        <f>Input!J18</f>
        <v>28245</v>
      </c>
      <c r="G429" s="165">
        <f t="shared" si="153"/>
        <v>25978.384452657079</v>
      </c>
      <c r="H429" s="248">
        <f t="shared" si="154"/>
        <v>27661.032350907124</v>
      </c>
      <c r="I429" s="150">
        <f t="shared" si="155"/>
        <v>26390.439899671881</v>
      </c>
      <c r="J429" s="149">
        <f t="shared" si="156"/>
        <v>28280.670860097933</v>
      </c>
      <c r="K429" s="150">
        <f t="shared" si="157"/>
        <v>24969.152263771601</v>
      </c>
      <c r="L429" s="149">
        <f t="shared" si="158"/>
        <v>25652.618000198323</v>
      </c>
      <c r="M429" s="249">
        <f t="shared" si="159"/>
        <v>26537.948075273995</v>
      </c>
      <c r="N429" s="248">
        <f t="shared" si="160"/>
        <v>26973.155065670951</v>
      </c>
      <c r="O429" s="150">
        <f t="shared" si="161"/>
        <v>27179.051190004939</v>
      </c>
      <c r="P429" s="149">
        <f t="shared" si="162"/>
        <v>28035.59644811356</v>
      </c>
      <c r="Q429" s="150">
        <f t="shared" si="163"/>
        <v>27552.826008822805</v>
      </c>
      <c r="R429" s="149">
        <f t="shared" si="164"/>
        <v>28456.188374972884</v>
      </c>
    </row>
    <row r="430" spans="3:18" x14ac:dyDescent="0.25">
      <c r="C430" s="56">
        <v>9</v>
      </c>
      <c r="D430" s="86" t="s">
        <v>46</v>
      </c>
      <c r="E430" s="250">
        <f>Input!I19</f>
        <v>25043</v>
      </c>
      <c r="F430" s="149">
        <f>Input!J19</f>
        <v>26511</v>
      </c>
      <c r="G430" s="165">
        <f t="shared" si="153"/>
        <v>24800.302735994675</v>
      </c>
      <c r="H430" s="248">
        <f t="shared" si="154"/>
        <v>26364.742562688676</v>
      </c>
      <c r="I430" s="150">
        <f t="shared" si="155"/>
        <v>23527.200539301739</v>
      </c>
      <c r="J430" s="149">
        <f t="shared" si="156"/>
        <v>25840.119960184205</v>
      </c>
      <c r="K430" s="150">
        <f t="shared" si="157"/>
        <v>23881.047902482896</v>
      </c>
      <c r="L430" s="149">
        <f t="shared" si="158"/>
        <v>26432.780228944182</v>
      </c>
      <c r="M430" s="249">
        <f t="shared" si="159"/>
        <v>22273.661007830728</v>
      </c>
      <c r="N430" s="248">
        <f t="shared" si="160"/>
        <v>23690.843757023238</v>
      </c>
      <c r="O430" s="150">
        <f t="shared" si="161"/>
        <v>23631.738186035014</v>
      </c>
      <c r="P430" s="149">
        <f t="shared" si="162"/>
        <v>24896.556744521062</v>
      </c>
      <c r="Q430" s="150">
        <f t="shared" si="163"/>
        <v>24100.646082890475</v>
      </c>
      <c r="R430" s="149">
        <f t="shared" si="164"/>
        <v>25858.928572166569</v>
      </c>
    </row>
    <row r="431" spans="3:18" x14ac:dyDescent="0.25">
      <c r="C431" s="56">
        <v>10</v>
      </c>
      <c r="D431" s="86" t="s">
        <v>47</v>
      </c>
      <c r="E431" s="250">
        <f>Input!I20</f>
        <v>23810</v>
      </c>
      <c r="F431" s="149">
        <f>Input!J20</f>
        <v>26424</v>
      </c>
      <c r="G431" s="165">
        <f t="shared" si="153"/>
        <v>23024.247943887844</v>
      </c>
      <c r="H431" s="248">
        <f t="shared" si="154"/>
        <v>25213.103243763988</v>
      </c>
      <c r="I431" s="150">
        <f t="shared" si="155"/>
        <v>22913.581444810072</v>
      </c>
      <c r="J431" s="149">
        <f t="shared" si="156"/>
        <v>25159.406625643296</v>
      </c>
      <c r="K431" s="150">
        <f t="shared" si="157"/>
        <v>21706.08395287082</v>
      </c>
      <c r="L431" s="149">
        <f t="shared" si="158"/>
        <v>24666.849157985955</v>
      </c>
      <c r="M431" s="249">
        <f t="shared" si="159"/>
        <v>22017.247225673855</v>
      </c>
      <c r="N431" s="248">
        <f t="shared" si="160"/>
        <v>25239.891410606582</v>
      </c>
      <c r="O431" s="150">
        <f t="shared" si="161"/>
        <v>20300.809720628327</v>
      </c>
      <c r="P431" s="149">
        <f t="shared" si="162"/>
        <v>22452.095629669402</v>
      </c>
      <c r="Q431" s="150">
        <f t="shared" si="163"/>
        <v>21506.688899642915</v>
      </c>
      <c r="R431" s="149">
        <f t="shared" si="164"/>
        <v>23586.002291076853</v>
      </c>
    </row>
    <row r="432" spans="3:18" x14ac:dyDescent="0.25">
      <c r="C432" s="56">
        <v>11</v>
      </c>
      <c r="D432" s="86" t="s">
        <v>48</v>
      </c>
      <c r="E432" s="250">
        <f>Input!I21</f>
        <v>21027</v>
      </c>
      <c r="F432" s="149">
        <f>Input!J21</f>
        <v>24984</v>
      </c>
      <c r="G432" s="165">
        <f t="shared" si="153"/>
        <v>22061.831248560517</v>
      </c>
      <c r="H432" s="248">
        <f t="shared" si="154"/>
        <v>25197.10002596891</v>
      </c>
      <c r="I432" s="150">
        <f t="shared" si="155"/>
        <v>21293.195448581151</v>
      </c>
      <c r="J432" s="149">
        <f t="shared" si="156"/>
        <v>24005.054646612603</v>
      </c>
      <c r="K432" s="150">
        <f t="shared" si="157"/>
        <v>21267.214583463166</v>
      </c>
      <c r="L432" s="149">
        <f t="shared" si="158"/>
        <v>24017.202845099386</v>
      </c>
      <c r="M432" s="249">
        <f t="shared" si="159"/>
        <v>20120.646922177162</v>
      </c>
      <c r="N432" s="248">
        <f t="shared" si="160"/>
        <v>23552.614091960775</v>
      </c>
      <c r="O432" s="150">
        <f t="shared" si="161"/>
        <v>20394.926667316253</v>
      </c>
      <c r="P432" s="149">
        <f t="shared" si="162"/>
        <v>24104.697791327322</v>
      </c>
      <c r="Q432" s="150">
        <f t="shared" si="163"/>
        <v>18621.905481658116</v>
      </c>
      <c r="R432" s="149">
        <f t="shared" si="164"/>
        <v>21300.881988811696</v>
      </c>
    </row>
    <row r="433" spans="3:22" x14ac:dyDescent="0.25">
      <c r="C433" s="56">
        <v>12</v>
      </c>
      <c r="D433" s="86" t="s">
        <v>49</v>
      </c>
      <c r="E433" s="250">
        <f>Input!I22</f>
        <v>17928</v>
      </c>
      <c r="F433" s="149">
        <f>Input!J22</f>
        <v>22198</v>
      </c>
      <c r="G433" s="165">
        <f t="shared" si="153"/>
        <v>19286.510786557006</v>
      </c>
      <c r="H433" s="248">
        <f t="shared" si="154"/>
        <v>23262.695929112917</v>
      </c>
      <c r="I433" s="150">
        <f t="shared" si="155"/>
        <v>20174.45338451313</v>
      </c>
      <c r="J433" s="149">
        <f t="shared" si="156"/>
        <v>23347.357527855602</v>
      </c>
      <c r="K433" s="150">
        <f t="shared" si="157"/>
        <v>19429.367189923199</v>
      </c>
      <c r="L433" s="149">
        <f t="shared" si="158"/>
        <v>22179.547324615232</v>
      </c>
      <c r="M433" s="249">
        <f t="shared" si="159"/>
        <v>19476.980967101037</v>
      </c>
      <c r="N433" s="248">
        <f t="shared" si="160"/>
        <v>22291.132118311878</v>
      </c>
      <c r="O433" s="150">
        <f t="shared" si="161"/>
        <v>18398.954866943561</v>
      </c>
      <c r="P433" s="149">
        <f t="shared" si="162"/>
        <v>21866.714373964067</v>
      </c>
      <c r="Q433" s="150">
        <f t="shared" si="163"/>
        <v>18633.075631376556</v>
      </c>
      <c r="R433" s="149">
        <f t="shared" si="164"/>
        <v>22385.246309441682</v>
      </c>
    </row>
    <row r="434" spans="3:22" x14ac:dyDescent="0.25">
      <c r="C434" s="56">
        <v>13</v>
      </c>
      <c r="D434" s="86" t="s">
        <v>50</v>
      </c>
      <c r="E434" s="250">
        <f>Input!I23</f>
        <v>14530</v>
      </c>
      <c r="F434" s="149">
        <f>Input!J23</f>
        <v>18134</v>
      </c>
      <c r="G434" s="165">
        <f t="shared" si="153"/>
        <v>16145.128118359477</v>
      </c>
      <c r="H434" s="248">
        <f t="shared" si="154"/>
        <v>20555.969801212152</v>
      </c>
      <c r="I434" s="150">
        <f t="shared" si="155"/>
        <v>17322.900177646436</v>
      </c>
      <c r="J434" s="149">
        <f t="shared" si="156"/>
        <v>21455.589471129129</v>
      </c>
      <c r="K434" s="150">
        <f t="shared" si="157"/>
        <v>18058.816587011999</v>
      </c>
      <c r="L434" s="149">
        <f t="shared" si="158"/>
        <v>21426.961568486618</v>
      </c>
      <c r="M434" s="249">
        <f t="shared" si="159"/>
        <v>17344.653296997883</v>
      </c>
      <c r="N434" s="248">
        <f t="shared" si="160"/>
        <v>20291.693062385039</v>
      </c>
      <c r="O434" s="150">
        <f t="shared" si="161"/>
        <v>17457.122786511398</v>
      </c>
      <c r="P434" s="149">
        <f t="shared" si="162"/>
        <v>20487.057954314248</v>
      </c>
      <c r="Q434" s="150">
        <f t="shared" si="163"/>
        <v>16458.377493972759</v>
      </c>
      <c r="R434" s="149">
        <f t="shared" si="164"/>
        <v>20100.989919396918</v>
      </c>
    </row>
    <row r="435" spans="3:22" x14ac:dyDescent="0.25">
      <c r="C435" s="56">
        <v>14</v>
      </c>
      <c r="D435" s="86" t="s">
        <v>51</v>
      </c>
      <c r="E435" s="250">
        <f>Input!I24</f>
        <v>9311</v>
      </c>
      <c r="F435" s="149">
        <f>Input!J24</f>
        <v>11793</v>
      </c>
      <c r="G435" s="165">
        <f t="shared" si="153"/>
        <v>12772.611124946621</v>
      </c>
      <c r="H435" s="248">
        <f t="shared" si="154"/>
        <v>16764.432588047155</v>
      </c>
      <c r="I435" s="150">
        <f t="shared" si="155"/>
        <v>14065.269048498641</v>
      </c>
      <c r="J435" s="149">
        <f t="shared" si="156"/>
        <v>18927.623738511724</v>
      </c>
      <c r="K435" s="150">
        <f t="shared" si="157"/>
        <v>15045.448519212325</v>
      </c>
      <c r="L435" s="149">
        <f t="shared" si="158"/>
        <v>19698.168178147058</v>
      </c>
      <c r="M435" s="249">
        <f t="shared" si="159"/>
        <v>15613.036268356011</v>
      </c>
      <c r="N435" s="248">
        <f t="shared" si="160"/>
        <v>19594.587064976749</v>
      </c>
      <c r="O435" s="150">
        <f t="shared" si="161"/>
        <v>14938.483008618497</v>
      </c>
      <c r="P435" s="149">
        <f t="shared" si="162"/>
        <v>18508.637941469435</v>
      </c>
      <c r="Q435" s="150">
        <f t="shared" si="163"/>
        <v>15108.037098287445</v>
      </c>
      <c r="R435" s="149">
        <f t="shared" si="164"/>
        <v>18750.97554404063</v>
      </c>
    </row>
    <row r="436" spans="3:22" x14ac:dyDescent="0.25">
      <c r="C436" s="56">
        <v>15</v>
      </c>
      <c r="D436" s="86" t="s">
        <v>52</v>
      </c>
      <c r="E436" s="250">
        <f>Input!I25</f>
        <v>6107</v>
      </c>
      <c r="F436" s="149">
        <f>Input!J25</f>
        <v>8254</v>
      </c>
      <c r="G436" s="165">
        <f t="shared" si="153"/>
        <v>7866.680088480397</v>
      </c>
      <c r="H436" s="248">
        <f t="shared" si="154"/>
        <v>10616.708063888318</v>
      </c>
      <c r="I436" s="150">
        <f t="shared" si="155"/>
        <v>10842.01371561337</v>
      </c>
      <c r="J436" s="149">
        <f t="shared" si="156"/>
        <v>15147.169283272324</v>
      </c>
      <c r="K436" s="150">
        <f t="shared" si="157"/>
        <v>11835.410429810872</v>
      </c>
      <c r="L436" s="149">
        <f t="shared" si="158"/>
        <v>17044.637389463383</v>
      </c>
      <c r="M436" s="249">
        <f t="shared" si="159"/>
        <v>12618.604876272087</v>
      </c>
      <c r="N436" s="248">
        <f t="shared" si="160"/>
        <v>17693.491281467312</v>
      </c>
      <c r="O436" s="150">
        <f t="shared" si="161"/>
        <v>13030.869915560572</v>
      </c>
      <c r="P436" s="149">
        <f t="shared" si="162"/>
        <v>17540.308160680914</v>
      </c>
      <c r="Q436" s="150">
        <f t="shared" si="163"/>
        <v>12415.518361200793</v>
      </c>
      <c r="R436" s="149">
        <f t="shared" si="164"/>
        <v>16529.847321629142</v>
      </c>
    </row>
    <row r="437" spans="3:22" x14ac:dyDescent="0.25">
      <c r="C437" s="56">
        <v>16</v>
      </c>
      <c r="D437" s="86" t="s">
        <v>53</v>
      </c>
      <c r="E437" s="250">
        <f>Input!I26</f>
        <v>4182</v>
      </c>
      <c r="F437" s="149">
        <f>Input!J26</f>
        <v>6552</v>
      </c>
      <c r="G437" s="165">
        <f t="shared" si="153"/>
        <v>4952.7008073437873</v>
      </c>
      <c r="H437" s="248">
        <f t="shared" si="154"/>
        <v>7143.9465012789651</v>
      </c>
      <c r="I437" s="150">
        <f t="shared" si="155"/>
        <v>6400.5112070559944</v>
      </c>
      <c r="J437" s="149">
        <f t="shared" si="156"/>
        <v>9214.9208931645026</v>
      </c>
      <c r="K437" s="150">
        <f t="shared" si="157"/>
        <v>8840.2761630476252</v>
      </c>
      <c r="L437" s="149">
        <f t="shared" si="158"/>
        <v>13174.5356969124</v>
      </c>
      <c r="M437" s="249">
        <f t="shared" si="159"/>
        <v>9608.1899065049565</v>
      </c>
      <c r="N437" s="248">
        <f t="shared" si="160"/>
        <v>14794.993908954813</v>
      </c>
      <c r="O437" s="150">
        <f t="shared" si="161"/>
        <v>10225.664290878189</v>
      </c>
      <c r="P437" s="149">
        <f t="shared" si="162"/>
        <v>15334.050321331668</v>
      </c>
      <c r="Q437" s="150">
        <f t="shared" si="163"/>
        <v>10532.269493410015</v>
      </c>
      <c r="R437" s="149">
        <f t="shared" si="164"/>
        <v>15169.163634305874</v>
      </c>
    </row>
    <row r="438" spans="3:22" x14ac:dyDescent="0.25">
      <c r="C438" s="56">
        <v>17</v>
      </c>
      <c r="D438" s="86" t="s">
        <v>54</v>
      </c>
      <c r="E438" s="250">
        <f>Input!I27</f>
        <v>3046</v>
      </c>
      <c r="F438" s="149">
        <f>Input!J27</f>
        <v>5287</v>
      </c>
      <c r="G438" s="165">
        <f t="shared" si="153"/>
        <v>2976.7041999484641</v>
      </c>
      <c r="H438" s="248">
        <f t="shared" si="154"/>
        <v>5098.6319381716239</v>
      </c>
      <c r="I438" s="150">
        <f t="shared" si="155"/>
        <v>3542.2538524855845</v>
      </c>
      <c r="J438" s="149">
        <f t="shared" si="156"/>
        <v>5581.1714479667917</v>
      </c>
      <c r="K438" s="150">
        <f t="shared" si="157"/>
        <v>4596.9751400731802</v>
      </c>
      <c r="L438" s="149">
        <f t="shared" si="158"/>
        <v>7236.1065704869361</v>
      </c>
      <c r="M438" s="249">
        <f t="shared" si="159"/>
        <v>6367.0381931515112</v>
      </c>
      <c r="N438" s="248">
        <f t="shared" si="160"/>
        <v>10386.186295902437</v>
      </c>
      <c r="O438" s="150">
        <f t="shared" si="161"/>
        <v>6873.5110047159305</v>
      </c>
      <c r="P438" s="149">
        <f t="shared" si="162"/>
        <v>11614.08586271849</v>
      </c>
      <c r="Q438" s="150">
        <f t="shared" si="163"/>
        <v>7293.1370159570661</v>
      </c>
      <c r="R438" s="149">
        <f t="shared" si="164"/>
        <v>11996.300490262465</v>
      </c>
    </row>
    <row r="439" spans="3:22" x14ac:dyDescent="0.25">
      <c r="C439" s="56">
        <v>18</v>
      </c>
      <c r="D439" s="86" t="s">
        <v>55</v>
      </c>
      <c r="E439" s="250">
        <f>Input!I28</f>
        <v>2296</v>
      </c>
      <c r="F439" s="149">
        <f>Input!J28</f>
        <v>5400</v>
      </c>
      <c r="G439" s="165">
        <f t="shared" si="153"/>
        <v>2480.1672376639258</v>
      </c>
      <c r="H439" s="248">
        <f t="shared" si="154"/>
        <v>5521.6051719442185</v>
      </c>
      <c r="I439" s="150">
        <f t="shared" si="155"/>
        <v>2464.6264275057015</v>
      </c>
      <c r="J439" s="149">
        <f t="shared" si="156"/>
        <v>5398.644819350442</v>
      </c>
      <c r="K439" s="150">
        <f t="shared" si="157"/>
        <v>2775.8308794068848</v>
      </c>
      <c r="L439" s="149">
        <f t="shared" si="158"/>
        <v>5661.7325463244624</v>
      </c>
      <c r="M439" s="249">
        <f t="shared" si="159"/>
        <v>3487.3300507405647</v>
      </c>
      <c r="N439" s="248">
        <f t="shared" si="160"/>
        <v>6872.2333711929541</v>
      </c>
      <c r="O439" s="150">
        <f t="shared" si="161"/>
        <v>4740.8165958256759</v>
      </c>
      <c r="P439" s="149">
        <f t="shared" si="162"/>
        <v>9451.3691935244588</v>
      </c>
      <c r="Q439" s="150">
        <f t="shared" si="163"/>
        <v>5380.0716943692923</v>
      </c>
      <c r="R439" s="149">
        <f t="shared" si="164"/>
        <v>11207.362404945561</v>
      </c>
    </row>
    <row r="440" spans="3:22" ht="15.75" thickBot="1" x14ac:dyDescent="0.3">
      <c r="C440" s="93"/>
      <c r="D440" s="94" t="s">
        <v>17</v>
      </c>
      <c r="E440" s="95">
        <f>SUM(E422:E439)</f>
        <v>331355</v>
      </c>
      <c r="F440" s="90">
        <f t="shared" ref="F440" si="165">SUM(F422:F439)</f>
        <v>360538</v>
      </c>
      <c r="G440" s="95">
        <f>SUM(G422:G439)</f>
        <v>341891.91355038207</v>
      </c>
      <c r="H440" s="251">
        <f t="shared" ref="H440" si="166">SUM(H422:H439)</f>
        <v>372084.74918606866</v>
      </c>
      <c r="I440" s="95">
        <f>SUM(I422:I439)</f>
        <v>351397.14133423578</v>
      </c>
      <c r="J440" s="90">
        <f t="shared" ref="J440" si="167">SUM(J422:J439)</f>
        <v>382756.35288270877</v>
      </c>
      <c r="K440" s="95">
        <f>SUM(K422:K439)</f>
        <v>359420.0807257428</v>
      </c>
      <c r="L440" s="90">
        <f t="shared" ref="L440" si="168">SUM(L422:L439)</f>
        <v>392125.19620603201</v>
      </c>
      <c r="M440" s="252">
        <f>SUM(M422:M439)</f>
        <v>365677.92811489746</v>
      </c>
      <c r="N440" s="251">
        <f t="shared" ref="N440" si="169">SUM(N422:N439)</f>
        <v>399807.87299064914</v>
      </c>
      <c r="O440" s="95">
        <f>SUM(O422:O439)</f>
        <v>370320.65957336011</v>
      </c>
      <c r="P440" s="90">
        <f t="shared" ref="P440" si="170">SUM(P422:P439)</f>
        <v>405579.78072381834</v>
      </c>
      <c r="Q440" s="95">
        <f>SUM(Q422:Q439)</f>
        <v>373790.36411595973</v>
      </c>
      <c r="R440" s="90">
        <f t="shared" ref="R440" si="171">SUM(R422:R439)</f>
        <v>409519.49592018378</v>
      </c>
    </row>
    <row r="444" spans="3:22" ht="15.75" thickBot="1" x14ac:dyDescent="0.3"/>
    <row r="445" spans="3:22" x14ac:dyDescent="0.25">
      <c r="C445" s="38" t="s">
        <v>6</v>
      </c>
      <c r="D445" s="39" t="s">
        <v>7</v>
      </c>
      <c r="E445" s="49" t="str">
        <f>launch.year&amp;" "&amp;population&amp;" Population"</f>
        <v>2010 Total Population</v>
      </c>
      <c r="F445" s="50"/>
      <c r="G445" s="46"/>
      <c r="H445" s="49" t="str">
        <f>IF(target.10,launch.year+10&amp;" "&amp;population&amp;" Population",IF(target.20,launch.year+20&amp;" "&amp;population&amp;" Population",IF(target.30,launch.year+30&amp;" "&amp;population&amp;" Population",IF(target.40,launch.year+40&amp;" "&amp;population&amp;" Population",IF(target.50,launch.year+50&amp;" "&amp;population&amp;" Population")))))</f>
        <v>2040 Total Population</v>
      </c>
      <c r="I445" s="50"/>
      <c r="J445" s="46"/>
      <c r="K445" s="253" t="str">
        <f>"Percentage Change ("&amp;launch.year&amp;"-"&amp;target.year&amp;")"</f>
        <v>Percentage Change (2010-2040)</v>
      </c>
      <c r="L445" s="111"/>
      <c r="M445" s="254"/>
      <c r="P445" s="25" t="str">
        <f>study.area&amp;" "&amp;population&amp;" Population, "&amp;launch.year</f>
        <v>DeKalb County Total Population, 2010</v>
      </c>
      <c r="T445" s="25" t="str">
        <f>study.area&amp;" "&amp;population&amp;" Population, "&amp;target.year</f>
        <v>DeKalb County Total Population, 2040</v>
      </c>
    </row>
    <row r="446" spans="3:22" x14ac:dyDescent="0.25">
      <c r="C446" s="52"/>
      <c r="D446" s="53"/>
      <c r="E446" s="255" t="s">
        <v>20</v>
      </c>
      <c r="F446" s="170" t="s">
        <v>21</v>
      </c>
      <c r="G446" s="256" t="s">
        <v>17</v>
      </c>
      <c r="H446" s="255" t="s">
        <v>20</v>
      </c>
      <c r="I446" s="170" t="s">
        <v>21</v>
      </c>
      <c r="J446" s="256" t="s">
        <v>17</v>
      </c>
      <c r="K446" s="257" t="s">
        <v>20</v>
      </c>
      <c r="L446" s="258" t="s">
        <v>21</v>
      </c>
      <c r="M446" s="259" t="s">
        <v>17</v>
      </c>
    </row>
    <row r="447" spans="3:22" x14ac:dyDescent="0.25">
      <c r="C447" s="68" t="s">
        <v>9</v>
      </c>
      <c r="D447" s="69" t="s">
        <v>10</v>
      </c>
      <c r="E447" s="260" t="s">
        <v>11</v>
      </c>
      <c r="F447" s="190" t="s">
        <v>12</v>
      </c>
      <c r="G447" s="261" t="s">
        <v>13</v>
      </c>
      <c r="H447" s="260" t="s">
        <v>14</v>
      </c>
      <c r="I447" s="190" t="s">
        <v>15</v>
      </c>
      <c r="J447" s="261" t="s">
        <v>16</v>
      </c>
      <c r="K447" s="260" t="s">
        <v>18</v>
      </c>
      <c r="L447" s="190" t="s">
        <v>19</v>
      </c>
      <c r="M447" s="261" t="s">
        <v>30</v>
      </c>
      <c r="P447" s="66" t="s">
        <v>32</v>
      </c>
      <c r="Q447" s="66" t="s">
        <v>20</v>
      </c>
      <c r="R447" s="66" t="s">
        <v>21</v>
      </c>
      <c r="T447" s="66" t="s">
        <v>32</v>
      </c>
      <c r="U447" s="66" t="s">
        <v>20</v>
      </c>
      <c r="V447" s="66" t="s">
        <v>21</v>
      </c>
    </row>
    <row r="448" spans="3:22" x14ac:dyDescent="0.25">
      <c r="C448" s="56">
        <v>1</v>
      </c>
      <c r="D448" s="53" t="s">
        <v>38</v>
      </c>
      <c r="E448" s="246">
        <f>E422</f>
        <v>25856</v>
      </c>
      <c r="F448" s="262">
        <f>F422</f>
        <v>24551</v>
      </c>
      <c r="G448" s="149">
        <f>E448+F448</f>
        <v>50407</v>
      </c>
      <c r="H448" s="263">
        <f>IF(target.10,I422,IF(target.20,M422,IF(target.30,Q422,IF(target.05,G422,IF(target.15,K422,IF(target.25,O422))))))</f>
        <v>27590.047130939998</v>
      </c>
      <c r="I448" s="262">
        <f>IF(target.10,J422,IF(target.20,N422,IF(target.30,R422,IF(target.05,H422,IF(target.15,L422,IF(target.25,P422))))))</f>
        <v>26256.677959919129</v>
      </c>
      <c r="J448" s="149">
        <f>H448+I448</f>
        <v>53846.725090859123</v>
      </c>
      <c r="K448" s="264">
        <f>(H448-E448)/E448</f>
        <v>6.7065560447865033E-2</v>
      </c>
      <c r="L448" s="265">
        <f t="shared" ref="L448:L465" si="172">(I448-F448)/F448</f>
        <v>6.9474887374002231E-2</v>
      </c>
      <c r="M448" s="266">
        <f t="shared" ref="M448:M465" si="173">(J448-G448)/G448</f>
        <v>6.8239036063624553E-2</v>
      </c>
      <c r="P448" s="66" t="str">
        <f>D448</f>
        <v>0-4</v>
      </c>
      <c r="Q448" s="100">
        <f>-E448</f>
        <v>-25856</v>
      </c>
      <c r="R448" s="100">
        <f>F448</f>
        <v>24551</v>
      </c>
      <c r="T448" s="66" t="str">
        <f t="shared" ref="T448:T456" si="174">D448</f>
        <v>0-4</v>
      </c>
      <c r="U448" s="100">
        <f t="shared" ref="U448:U456" si="175">-H448</f>
        <v>-27590.047130939998</v>
      </c>
      <c r="V448" s="100">
        <f t="shared" ref="V448:V456" si="176">I448</f>
        <v>26256.677959919129</v>
      </c>
    </row>
    <row r="449" spans="3:22" x14ac:dyDescent="0.25">
      <c r="C449" s="56">
        <v>2</v>
      </c>
      <c r="D449" s="83" t="s">
        <v>39</v>
      </c>
      <c r="E449" s="250">
        <f t="shared" ref="E449:F449" si="177">E423</f>
        <v>23110</v>
      </c>
      <c r="F449" s="165">
        <f t="shared" si="177"/>
        <v>22180</v>
      </c>
      <c r="G449" s="149">
        <f t="shared" ref="G449:G465" si="178">E449+F449</f>
        <v>45290</v>
      </c>
      <c r="H449" s="150">
        <f>IF(target.10,I423,IF(target.20,M423,IF(target.30,Q423,IF(target.05,G423,IF(target.15,K423,IF(target.25,O423))))))</f>
        <v>25698.227072474703</v>
      </c>
      <c r="I449" s="165">
        <f>IF(target.10,J423,IF(target.20,N423,IF(target.30,R423,IF(target.05,H423,IF(target.15,L423,IF(target.25,P423))))))</f>
        <v>24585.158045417571</v>
      </c>
      <c r="J449" s="149">
        <f t="shared" ref="J449:J465" si="179">H449+I449</f>
        <v>50283.385117892278</v>
      </c>
      <c r="K449" s="267">
        <f t="shared" ref="K449:K465" si="180">(H449-E449)/E449</f>
        <v>0.1119959789041412</v>
      </c>
      <c r="L449" s="223">
        <f t="shared" si="172"/>
        <v>0.10843814451837561</v>
      </c>
      <c r="M449" s="268">
        <f t="shared" si="173"/>
        <v>0.1102535905915716</v>
      </c>
      <c r="P449" s="66" t="str">
        <f t="shared" ref="P449:P456" si="181">D449</f>
        <v>5-9</v>
      </c>
      <c r="Q449" s="100">
        <f t="shared" ref="Q449:Q456" si="182">-E449</f>
        <v>-23110</v>
      </c>
      <c r="R449" s="100">
        <f t="shared" ref="R449:R456" si="183">F449</f>
        <v>22180</v>
      </c>
      <c r="T449" s="66" t="str">
        <f t="shared" si="174"/>
        <v>5-9</v>
      </c>
      <c r="U449" s="100">
        <f t="shared" si="175"/>
        <v>-25698.227072474703</v>
      </c>
      <c r="V449" s="100">
        <f t="shared" si="176"/>
        <v>24585.158045417571</v>
      </c>
    </row>
    <row r="450" spans="3:22" x14ac:dyDescent="0.25">
      <c r="C450" s="56">
        <v>3</v>
      </c>
      <c r="D450" s="83" t="s">
        <v>40</v>
      </c>
      <c r="E450" s="250">
        <f t="shared" ref="E450:F450" si="184">E424</f>
        <v>21915</v>
      </c>
      <c r="F450" s="165">
        <f t="shared" si="184"/>
        <v>20882</v>
      </c>
      <c r="G450" s="149">
        <f t="shared" si="178"/>
        <v>42797</v>
      </c>
      <c r="H450" s="150">
        <f>IF(target.10,I424,IF(target.20,M424,IF(target.30,Q424,IF(target.05,G424,IF(target.15,K424,IF(target.25,O424))))))</f>
        <v>24578.572368901769</v>
      </c>
      <c r="I450" s="165">
        <f>IF(target.10,J424,IF(target.20,N424,IF(target.30,R424,IF(target.05,H424,IF(target.15,L424,IF(target.25,P424))))))</f>
        <v>23441.169328345943</v>
      </c>
      <c r="J450" s="149">
        <f t="shared" si="179"/>
        <v>48019.741697247708</v>
      </c>
      <c r="K450" s="267">
        <f t="shared" si="180"/>
        <v>0.12154106177968371</v>
      </c>
      <c r="L450" s="223">
        <f t="shared" si="172"/>
        <v>0.12255384198572659</v>
      </c>
      <c r="M450" s="268">
        <f t="shared" si="173"/>
        <v>0.12203522904053339</v>
      </c>
      <c r="P450" s="66" t="str">
        <f t="shared" si="181"/>
        <v>10-14</v>
      </c>
      <c r="Q450" s="100">
        <f t="shared" si="182"/>
        <v>-21915</v>
      </c>
      <c r="R450" s="100">
        <f t="shared" si="183"/>
        <v>20882</v>
      </c>
      <c r="T450" s="66" t="str">
        <f t="shared" si="174"/>
        <v>10-14</v>
      </c>
      <c r="U450" s="100">
        <f t="shared" si="175"/>
        <v>-24578.572368901769</v>
      </c>
      <c r="V450" s="100">
        <f t="shared" si="176"/>
        <v>23441.169328345943</v>
      </c>
    </row>
    <row r="451" spans="3:22" x14ac:dyDescent="0.25">
      <c r="C451" s="56">
        <v>4</v>
      </c>
      <c r="D451" s="86" t="s">
        <v>41</v>
      </c>
      <c r="E451" s="250">
        <f t="shared" ref="E451:F451" si="185">E425</f>
        <v>22737</v>
      </c>
      <c r="F451" s="165">
        <f t="shared" si="185"/>
        <v>21906</v>
      </c>
      <c r="G451" s="149">
        <f t="shared" si="178"/>
        <v>44643</v>
      </c>
      <c r="H451" s="150">
        <f>IF(target.10,I425,IF(target.20,M425,IF(target.30,Q425,IF(target.05,G425,IF(target.15,K425,IF(target.25,O425))))))</f>
        <v>25222.032351407081</v>
      </c>
      <c r="I451" s="165">
        <f>IF(target.10,J425,IF(target.20,N425,IF(target.30,R425,IF(target.05,H425,IF(target.15,L425,IF(target.25,P425))))))</f>
        <v>24756.845520263789</v>
      </c>
      <c r="J451" s="149">
        <f t="shared" si="179"/>
        <v>49978.877871670869</v>
      </c>
      <c r="K451" s="267">
        <f t="shared" si="180"/>
        <v>0.10929464535370016</v>
      </c>
      <c r="L451" s="223">
        <f t="shared" si="172"/>
        <v>0.13013993975457813</v>
      </c>
      <c r="M451" s="268">
        <f t="shared" si="173"/>
        <v>0.11952328185092555</v>
      </c>
      <c r="P451" s="66" t="str">
        <f t="shared" si="181"/>
        <v>15-19</v>
      </c>
      <c r="Q451" s="100">
        <f t="shared" si="182"/>
        <v>-22737</v>
      </c>
      <c r="R451" s="100">
        <f t="shared" si="183"/>
        <v>21906</v>
      </c>
      <c r="T451" s="66" t="str">
        <f t="shared" si="174"/>
        <v>15-19</v>
      </c>
      <c r="U451" s="100">
        <f t="shared" si="175"/>
        <v>-25222.032351407081</v>
      </c>
      <c r="V451" s="100">
        <f t="shared" si="176"/>
        <v>24756.845520263789</v>
      </c>
    </row>
    <row r="452" spans="3:22" x14ac:dyDescent="0.25">
      <c r="C452" s="56">
        <v>5</v>
      </c>
      <c r="D452" s="86" t="s">
        <v>42</v>
      </c>
      <c r="E452" s="250">
        <f t="shared" ref="E452:F452" si="186">E426</f>
        <v>25555</v>
      </c>
      <c r="F452" s="165">
        <f t="shared" si="186"/>
        <v>26144</v>
      </c>
      <c r="G452" s="149">
        <f t="shared" si="178"/>
        <v>51699</v>
      </c>
      <c r="H452" s="150">
        <f>IF(target.10,I426,IF(target.20,M426,IF(target.30,Q426,IF(target.05,G426,IF(target.15,K426,IF(target.25,O426))))))</f>
        <v>29382.314393533634</v>
      </c>
      <c r="I452" s="165">
        <f>IF(target.10,J426,IF(target.20,N426,IF(target.30,R426,IF(target.05,H426,IF(target.15,L426,IF(target.25,P426))))))</f>
        <v>30082.635810776977</v>
      </c>
      <c r="J452" s="149">
        <f t="shared" si="179"/>
        <v>59464.950204310611</v>
      </c>
      <c r="K452" s="267">
        <f t="shared" si="180"/>
        <v>0.14976773208897021</v>
      </c>
      <c r="L452" s="223">
        <f t="shared" si="172"/>
        <v>0.15065161454930298</v>
      </c>
      <c r="M452" s="268">
        <f t="shared" si="173"/>
        <v>0.1502147082982381</v>
      </c>
      <c r="P452" s="66" t="str">
        <f t="shared" si="181"/>
        <v>20-24</v>
      </c>
      <c r="Q452" s="100">
        <f t="shared" si="182"/>
        <v>-25555</v>
      </c>
      <c r="R452" s="100">
        <f t="shared" si="183"/>
        <v>26144</v>
      </c>
      <c r="T452" s="66" t="str">
        <f t="shared" si="174"/>
        <v>20-24</v>
      </c>
      <c r="U452" s="100">
        <f t="shared" si="175"/>
        <v>-29382.314393533634</v>
      </c>
      <c r="V452" s="100">
        <f t="shared" si="176"/>
        <v>30082.635810776977</v>
      </c>
    </row>
    <row r="453" spans="3:22" x14ac:dyDescent="0.25">
      <c r="C453" s="56">
        <v>6</v>
      </c>
      <c r="D453" s="86" t="s">
        <v>43</v>
      </c>
      <c r="E453" s="250">
        <f t="shared" ref="E453:F453" si="187">E427</f>
        <v>29422</v>
      </c>
      <c r="F453" s="165">
        <f t="shared" si="187"/>
        <v>31514</v>
      </c>
      <c r="G453" s="149">
        <f t="shared" si="178"/>
        <v>60936</v>
      </c>
      <c r="H453" s="150">
        <f>IF(target.10,I427,IF(target.20,M427,IF(target.30,Q427,IF(target.05,G427,IF(target.15,K427,IF(target.25,O427))))))</f>
        <v>32219.777271335704</v>
      </c>
      <c r="I453" s="165">
        <f>IF(target.10,J427,IF(target.20,N427,IF(target.30,R427,IF(target.05,H427,IF(target.15,L427,IF(target.25,P427))))))</f>
        <v>33190.150360972308</v>
      </c>
      <c r="J453" s="149">
        <f t="shared" si="179"/>
        <v>65409.927632308012</v>
      </c>
      <c r="K453" s="267">
        <f t="shared" si="180"/>
        <v>9.5091335440680588E-2</v>
      </c>
      <c r="L453" s="223">
        <f t="shared" si="172"/>
        <v>5.3187483688909937E-2</v>
      </c>
      <c r="M453" s="268">
        <f t="shared" si="173"/>
        <v>7.3420106871274982E-2</v>
      </c>
      <c r="P453" s="66" t="str">
        <f t="shared" si="181"/>
        <v>25-29</v>
      </c>
      <c r="Q453" s="100">
        <f t="shared" si="182"/>
        <v>-29422</v>
      </c>
      <c r="R453" s="100">
        <f t="shared" si="183"/>
        <v>31514</v>
      </c>
      <c r="T453" s="66" t="str">
        <f t="shared" si="174"/>
        <v>25-29</v>
      </c>
      <c r="U453" s="100">
        <f t="shared" si="175"/>
        <v>-32219.777271335704</v>
      </c>
      <c r="V453" s="100">
        <f t="shared" si="176"/>
        <v>33190.150360972308</v>
      </c>
    </row>
    <row r="454" spans="3:22" x14ac:dyDescent="0.25">
      <c r="C454" s="56">
        <v>7</v>
      </c>
      <c r="D454" s="86" t="s">
        <v>44</v>
      </c>
      <c r="E454" s="250">
        <f t="shared" ref="E454:F454" si="188">E428</f>
        <v>28134</v>
      </c>
      <c r="F454" s="165">
        <f t="shared" si="188"/>
        <v>29579</v>
      </c>
      <c r="G454" s="149">
        <f t="shared" si="178"/>
        <v>57713</v>
      </c>
      <c r="H454" s="150">
        <f>IF(target.10,I428,IF(target.20,M428,IF(target.30,Q428,IF(target.05,G428,IF(target.15,K428,IF(target.25,O428))))))</f>
        <v>31496.840265778534</v>
      </c>
      <c r="I454" s="165">
        <f>IF(target.10,J428,IF(target.20,N428,IF(target.30,R428,IF(target.05,H428,IF(target.15,L428,IF(target.25,P428))))))</f>
        <v>31864.972043437818</v>
      </c>
      <c r="J454" s="149">
        <f t="shared" si="179"/>
        <v>63361.812309216351</v>
      </c>
      <c r="K454" s="267">
        <f t="shared" si="180"/>
        <v>0.11952940448491269</v>
      </c>
      <c r="L454" s="223">
        <f t="shared" si="172"/>
        <v>7.7283614842889134E-2</v>
      </c>
      <c r="M454" s="268">
        <f t="shared" si="173"/>
        <v>9.7877641245756611E-2</v>
      </c>
      <c r="P454" s="66" t="str">
        <f t="shared" si="181"/>
        <v>30-34</v>
      </c>
      <c r="Q454" s="100">
        <f t="shared" si="182"/>
        <v>-28134</v>
      </c>
      <c r="R454" s="100">
        <f t="shared" si="183"/>
        <v>29579</v>
      </c>
      <c r="T454" s="66" t="str">
        <f t="shared" si="174"/>
        <v>30-34</v>
      </c>
      <c r="U454" s="100">
        <f t="shared" si="175"/>
        <v>-31496.840265778534</v>
      </c>
      <c r="V454" s="100">
        <f t="shared" si="176"/>
        <v>31864.972043437818</v>
      </c>
    </row>
    <row r="455" spans="3:22" x14ac:dyDescent="0.25">
      <c r="C455" s="56">
        <v>8</v>
      </c>
      <c r="D455" s="86" t="s">
        <v>45</v>
      </c>
      <c r="E455" s="250">
        <f t="shared" ref="E455:F455" si="189">E429</f>
        <v>27346</v>
      </c>
      <c r="F455" s="165">
        <f t="shared" si="189"/>
        <v>28245</v>
      </c>
      <c r="G455" s="149">
        <f t="shared" si="178"/>
        <v>55591</v>
      </c>
      <c r="H455" s="150">
        <f>IF(target.10,I429,IF(target.20,M429,IF(target.30,Q429,IF(target.05,G429,IF(target.15,K429,IF(target.25,O429))))))</f>
        <v>27552.826008822805</v>
      </c>
      <c r="I455" s="165">
        <f>IF(target.10,J429,IF(target.20,N429,IF(target.30,R429,IF(target.05,H429,IF(target.15,L429,IF(target.25,P429))))))</f>
        <v>28456.188374972884</v>
      </c>
      <c r="J455" s="149">
        <f t="shared" si="179"/>
        <v>56009.014383795686</v>
      </c>
      <c r="K455" s="267">
        <f t="shared" si="180"/>
        <v>7.5633002568128906E-3</v>
      </c>
      <c r="L455" s="223">
        <f t="shared" si="172"/>
        <v>7.4770180553331228E-3</v>
      </c>
      <c r="M455" s="268">
        <f t="shared" si="173"/>
        <v>7.5194614918905169E-3</v>
      </c>
      <c r="P455" s="66" t="str">
        <f t="shared" si="181"/>
        <v>35-39</v>
      </c>
      <c r="Q455" s="100">
        <f t="shared" si="182"/>
        <v>-27346</v>
      </c>
      <c r="R455" s="100">
        <f t="shared" si="183"/>
        <v>28245</v>
      </c>
      <c r="T455" s="66" t="str">
        <f t="shared" si="174"/>
        <v>35-39</v>
      </c>
      <c r="U455" s="100">
        <f t="shared" si="175"/>
        <v>-27552.826008822805</v>
      </c>
      <c r="V455" s="100">
        <f t="shared" si="176"/>
        <v>28456.188374972884</v>
      </c>
    </row>
    <row r="456" spans="3:22" x14ac:dyDescent="0.25">
      <c r="C456" s="56">
        <v>9</v>
      </c>
      <c r="D456" s="86" t="s">
        <v>46</v>
      </c>
      <c r="E456" s="250">
        <f t="shared" ref="E456:F456" si="190">E430</f>
        <v>25043</v>
      </c>
      <c r="F456" s="165">
        <f t="shared" si="190"/>
        <v>26511</v>
      </c>
      <c r="G456" s="149">
        <f t="shared" si="178"/>
        <v>51554</v>
      </c>
      <c r="H456" s="150">
        <f>IF(target.10,I430,IF(target.20,M430,IF(target.30,Q430,IF(target.05,G430,IF(target.15,K430,IF(target.25,O430))))))</f>
        <v>24100.646082890475</v>
      </c>
      <c r="I456" s="165">
        <f>IF(target.10,J430,IF(target.20,N430,IF(target.30,R430,IF(target.05,H430,IF(target.15,L430,IF(target.25,P430))))))</f>
        <v>25858.928572166569</v>
      </c>
      <c r="J456" s="149">
        <f t="shared" si="179"/>
        <v>49959.574655057047</v>
      </c>
      <c r="K456" s="267">
        <f t="shared" si="180"/>
        <v>-3.7629434057801593E-2</v>
      </c>
      <c r="L456" s="223">
        <f t="shared" si="172"/>
        <v>-2.4596259206873781E-2</v>
      </c>
      <c r="M456" s="268">
        <f t="shared" si="173"/>
        <v>-3.0927286824358004E-2</v>
      </c>
      <c r="P456" s="66" t="str">
        <f t="shared" si="181"/>
        <v>40-44</v>
      </c>
      <c r="Q456" s="100">
        <f t="shared" si="182"/>
        <v>-25043</v>
      </c>
      <c r="R456" s="100">
        <f t="shared" si="183"/>
        <v>26511</v>
      </c>
      <c r="T456" s="66" t="str">
        <f t="shared" si="174"/>
        <v>40-44</v>
      </c>
      <c r="U456" s="100">
        <f t="shared" si="175"/>
        <v>-24100.646082890475</v>
      </c>
      <c r="V456" s="100">
        <f t="shared" si="176"/>
        <v>25858.928572166569</v>
      </c>
    </row>
    <row r="457" spans="3:22" x14ac:dyDescent="0.25">
      <c r="C457" s="56">
        <v>10</v>
      </c>
      <c r="D457" s="86" t="s">
        <v>47</v>
      </c>
      <c r="E457" s="250">
        <f t="shared" ref="E457:F457" si="191">E431</f>
        <v>23810</v>
      </c>
      <c r="F457" s="165">
        <f t="shared" si="191"/>
        <v>26424</v>
      </c>
      <c r="G457" s="149">
        <f t="shared" si="178"/>
        <v>50234</v>
      </c>
      <c r="H457" s="150">
        <f>IF(target.10,I431,IF(target.20,M431,IF(target.30,Q431,IF(target.05,G431,IF(target.15,K431,IF(target.25,O431))))))</f>
        <v>21506.688899642915</v>
      </c>
      <c r="I457" s="165">
        <f>IF(target.10,J431,IF(target.20,N431,IF(target.30,R431,IF(target.05,H431,IF(target.15,L431,IF(target.25,P431))))))</f>
        <v>23586.002291076853</v>
      </c>
      <c r="J457" s="149">
        <f t="shared" si="179"/>
        <v>45092.691190719765</v>
      </c>
      <c r="K457" s="267">
        <f t="shared" si="180"/>
        <v>-9.6737131472368121E-2</v>
      </c>
      <c r="L457" s="223">
        <f t="shared" si="172"/>
        <v>-0.107402274785163</v>
      </c>
      <c r="M457" s="268">
        <f t="shared" si="173"/>
        <v>-0.10234719133017947</v>
      </c>
      <c r="P457" s="66" t="str">
        <f t="shared" ref="P457:P465" si="192">D457</f>
        <v>45-49</v>
      </c>
      <c r="Q457" s="100">
        <f t="shared" ref="Q457:Q465" si="193">-E457</f>
        <v>-23810</v>
      </c>
      <c r="R457" s="100">
        <f t="shared" ref="R457:R465" si="194">F457</f>
        <v>26424</v>
      </c>
      <c r="T457" s="66" t="str">
        <f t="shared" ref="T457:T465" si="195">D457</f>
        <v>45-49</v>
      </c>
      <c r="U457" s="100">
        <f t="shared" ref="U457:U465" si="196">-H457</f>
        <v>-21506.688899642915</v>
      </c>
      <c r="V457" s="100">
        <f t="shared" ref="V457:V465" si="197">I457</f>
        <v>23586.002291076853</v>
      </c>
    </row>
    <row r="458" spans="3:22" x14ac:dyDescent="0.25">
      <c r="C458" s="56">
        <v>11</v>
      </c>
      <c r="D458" s="86" t="s">
        <v>48</v>
      </c>
      <c r="E458" s="250">
        <f t="shared" ref="E458:F458" si="198">E432</f>
        <v>21027</v>
      </c>
      <c r="F458" s="165">
        <f t="shared" si="198"/>
        <v>24984</v>
      </c>
      <c r="G458" s="149">
        <f t="shared" si="178"/>
        <v>46011</v>
      </c>
      <c r="H458" s="150">
        <f>IF(target.10,I432,IF(target.20,M432,IF(target.30,Q432,IF(target.05,G432,IF(target.15,K432,IF(target.25,O432))))))</f>
        <v>18621.905481658116</v>
      </c>
      <c r="I458" s="165">
        <f>IF(target.10,J432,IF(target.20,N432,IF(target.30,R432,IF(target.05,H432,IF(target.15,L432,IF(target.25,P432))))))</f>
        <v>21300.881988811696</v>
      </c>
      <c r="J458" s="149">
        <f t="shared" si="179"/>
        <v>39922.787470469812</v>
      </c>
      <c r="K458" s="267">
        <f t="shared" si="180"/>
        <v>-0.11438124879164334</v>
      </c>
      <c r="L458" s="223">
        <f t="shared" si="172"/>
        <v>-0.14741906865146912</v>
      </c>
      <c r="M458" s="268">
        <f t="shared" si="173"/>
        <v>-0.1323208043626565</v>
      </c>
      <c r="P458" s="66" t="str">
        <f t="shared" si="192"/>
        <v>50-54</v>
      </c>
      <c r="Q458" s="100">
        <f t="shared" si="193"/>
        <v>-21027</v>
      </c>
      <c r="R458" s="100">
        <f t="shared" si="194"/>
        <v>24984</v>
      </c>
      <c r="T458" s="66" t="str">
        <f t="shared" si="195"/>
        <v>50-54</v>
      </c>
      <c r="U458" s="100">
        <f t="shared" si="196"/>
        <v>-18621.905481658116</v>
      </c>
      <c r="V458" s="100">
        <f t="shared" si="197"/>
        <v>21300.881988811696</v>
      </c>
    </row>
    <row r="459" spans="3:22" x14ac:dyDescent="0.25">
      <c r="C459" s="56">
        <v>12</v>
      </c>
      <c r="D459" s="86" t="s">
        <v>49</v>
      </c>
      <c r="E459" s="250">
        <f t="shared" ref="E459:F459" si="199">E433</f>
        <v>17928</v>
      </c>
      <c r="F459" s="165">
        <f t="shared" si="199"/>
        <v>22198</v>
      </c>
      <c r="G459" s="149">
        <f t="shared" si="178"/>
        <v>40126</v>
      </c>
      <c r="H459" s="150">
        <f>IF(target.10,I433,IF(target.20,M433,IF(target.30,Q433,IF(target.05,G433,IF(target.15,K433,IF(target.25,O433))))))</f>
        <v>18633.075631376556</v>
      </c>
      <c r="I459" s="165">
        <f>IF(target.10,J433,IF(target.20,N433,IF(target.30,R433,IF(target.05,H433,IF(target.15,L433,IF(target.25,P433))))))</f>
        <v>22385.246309441682</v>
      </c>
      <c r="J459" s="149">
        <f t="shared" si="179"/>
        <v>41018.321940818234</v>
      </c>
      <c r="K459" s="267">
        <f t="shared" si="180"/>
        <v>3.9328181134346052E-2</v>
      </c>
      <c r="L459" s="223">
        <f t="shared" si="172"/>
        <v>8.4352783783080299E-3</v>
      </c>
      <c r="M459" s="268">
        <f t="shared" si="173"/>
        <v>2.2237998824159746E-2</v>
      </c>
      <c r="P459" s="66" t="str">
        <f t="shared" si="192"/>
        <v>55-59</v>
      </c>
      <c r="Q459" s="100">
        <f t="shared" si="193"/>
        <v>-17928</v>
      </c>
      <c r="R459" s="100">
        <f t="shared" si="194"/>
        <v>22198</v>
      </c>
      <c r="T459" s="66" t="str">
        <f t="shared" si="195"/>
        <v>55-59</v>
      </c>
      <c r="U459" s="100">
        <f t="shared" si="196"/>
        <v>-18633.075631376556</v>
      </c>
      <c r="V459" s="100">
        <f t="shared" si="197"/>
        <v>22385.246309441682</v>
      </c>
    </row>
    <row r="460" spans="3:22" x14ac:dyDescent="0.25">
      <c r="C460" s="56">
        <v>13</v>
      </c>
      <c r="D460" s="86" t="s">
        <v>50</v>
      </c>
      <c r="E460" s="250">
        <f t="shared" ref="E460:F460" si="200">E434</f>
        <v>14530</v>
      </c>
      <c r="F460" s="165">
        <f t="shared" si="200"/>
        <v>18134</v>
      </c>
      <c r="G460" s="149">
        <f t="shared" si="178"/>
        <v>32664</v>
      </c>
      <c r="H460" s="150">
        <f>IF(target.10,I434,IF(target.20,M434,IF(target.30,Q434,IF(target.05,G434,IF(target.15,K434,IF(target.25,O434))))))</f>
        <v>16458.377493972759</v>
      </c>
      <c r="I460" s="165">
        <f>IF(target.10,J434,IF(target.20,N434,IF(target.30,R434,IF(target.05,H434,IF(target.15,L434,IF(target.25,P434))))))</f>
        <v>20100.989919396918</v>
      </c>
      <c r="J460" s="149">
        <f t="shared" si="179"/>
        <v>36559.367413369677</v>
      </c>
      <c r="K460" s="267">
        <f t="shared" si="180"/>
        <v>0.13271696448539291</v>
      </c>
      <c r="L460" s="223">
        <f t="shared" si="172"/>
        <v>0.10846972093288396</v>
      </c>
      <c r="M460" s="268">
        <f t="shared" si="173"/>
        <v>0.1192556763828581</v>
      </c>
      <c r="P460" s="66" t="str">
        <f t="shared" si="192"/>
        <v>60-64</v>
      </c>
      <c r="Q460" s="100">
        <f t="shared" si="193"/>
        <v>-14530</v>
      </c>
      <c r="R460" s="100">
        <f t="shared" si="194"/>
        <v>18134</v>
      </c>
      <c r="T460" s="66" t="str">
        <f t="shared" si="195"/>
        <v>60-64</v>
      </c>
      <c r="U460" s="100">
        <f t="shared" si="196"/>
        <v>-16458.377493972759</v>
      </c>
      <c r="V460" s="100">
        <f t="shared" si="197"/>
        <v>20100.989919396918</v>
      </c>
    </row>
    <row r="461" spans="3:22" x14ac:dyDescent="0.25">
      <c r="C461" s="56">
        <v>14</v>
      </c>
      <c r="D461" s="86" t="s">
        <v>51</v>
      </c>
      <c r="E461" s="250">
        <f t="shared" ref="E461:F461" si="201">E435</f>
        <v>9311</v>
      </c>
      <c r="F461" s="165">
        <f t="shared" si="201"/>
        <v>11793</v>
      </c>
      <c r="G461" s="149">
        <f t="shared" si="178"/>
        <v>21104</v>
      </c>
      <c r="H461" s="150">
        <f>IF(target.10,I435,IF(target.20,M435,IF(target.30,Q435,IF(target.05,G435,IF(target.15,K435,IF(target.25,O435))))))</f>
        <v>15108.037098287445</v>
      </c>
      <c r="I461" s="165">
        <f>IF(target.10,J435,IF(target.20,N435,IF(target.30,R435,IF(target.05,H435,IF(target.15,L435,IF(target.25,P435))))))</f>
        <v>18750.97554404063</v>
      </c>
      <c r="J461" s="149">
        <f t="shared" si="179"/>
        <v>33859.012642328074</v>
      </c>
      <c r="K461" s="267">
        <f t="shared" si="180"/>
        <v>0.62260091271479379</v>
      </c>
      <c r="L461" s="223">
        <f t="shared" si="172"/>
        <v>0.59000894971937845</v>
      </c>
      <c r="M461" s="268">
        <f t="shared" si="173"/>
        <v>0.60438839283207324</v>
      </c>
      <c r="P461" s="66" t="str">
        <f t="shared" si="192"/>
        <v>65-69</v>
      </c>
      <c r="Q461" s="100">
        <f t="shared" si="193"/>
        <v>-9311</v>
      </c>
      <c r="R461" s="100">
        <f t="shared" si="194"/>
        <v>11793</v>
      </c>
      <c r="T461" s="66" t="str">
        <f t="shared" si="195"/>
        <v>65-69</v>
      </c>
      <c r="U461" s="100">
        <f t="shared" si="196"/>
        <v>-15108.037098287445</v>
      </c>
      <c r="V461" s="100">
        <f t="shared" si="197"/>
        <v>18750.97554404063</v>
      </c>
    </row>
    <row r="462" spans="3:22" x14ac:dyDescent="0.25">
      <c r="C462" s="56">
        <v>15</v>
      </c>
      <c r="D462" s="86" t="s">
        <v>52</v>
      </c>
      <c r="E462" s="250">
        <f t="shared" ref="E462:F462" si="202">E436</f>
        <v>6107</v>
      </c>
      <c r="F462" s="165">
        <f t="shared" si="202"/>
        <v>8254</v>
      </c>
      <c r="G462" s="149">
        <f t="shared" si="178"/>
        <v>14361</v>
      </c>
      <c r="H462" s="150">
        <f>IF(target.10,I436,IF(target.20,M436,IF(target.30,Q436,IF(target.05,G436,IF(target.15,K436,IF(target.25,O436))))))</f>
        <v>12415.518361200793</v>
      </c>
      <c r="I462" s="165">
        <f>IF(target.10,J436,IF(target.20,N436,IF(target.30,R436,IF(target.05,H436,IF(target.15,L436,IF(target.25,P436))))))</f>
        <v>16529.847321629142</v>
      </c>
      <c r="J462" s="149">
        <f t="shared" si="179"/>
        <v>28945.365682829935</v>
      </c>
      <c r="K462" s="267">
        <f t="shared" si="180"/>
        <v>1.0329979304406081</v>
      </c>
      <c r="L462" s="223">
        <f t="shared" si="172"/>
        <v>1.0026468768632351</v>
      </c>
      <c r="M462" s="268">
        <f t="shared" si="173"/>
        <v>1.0155536301671149</v>
      </c>
      <c r="P462" s="66" t="str">
        <f t="shared" si="192"/>
        <v>70-74</v>
      </c>
      <c r="Q462" s="100">
        <f t="shared" si="193"/>
        <v>-6107</v>
      </c>
      <c r="R462" s="100">
        <f t="shared" si="194"/>
        <v>8254</v>
      </c>
      <c r="T462" s="66" t="str">
        <f t="shared" si="195"/>
        <v>70-74</v>
      </c>
      <c r="U462" s="100">
        <f t="shared" si="196"/>
        <v>-12415.518361200793</v>
      </c>
      <c r="V462" s="100">
        <f t="shared" si="197"/>
        <v>16529.847321629142</v>
      </c>
    </row>
    <row r="463" spans="3:22" x14ac:dyDescent="0.25">
      <c r="C463" s="56">
        <v>16</v>
      </c>
      <c r="D463" s="86" t="s">
        <v>53</v>
      </c>
      <c r="E463" s="250">
        <f t="shared" ref="E463:F463" si="203">E437</f>
        <v>4182</v>
      </c>
      <c r="F463" s="165">
        <f t="shared" si="203"/>
        <v>6552</v>
      </c>
      <c r="G463" s="149">
        <f t="shared" si="178"/>
        <v>10734</v>
      </c>
      <c r="H463" s="150">
        <f>IF(target.10,I437,IF(target.20,M437,IF(target.30,Q437,IF(target.05,G437,IF(target.15,K437,IF(target.25,O437))))))</f>
        <v>10532.269493410015</v>
      </c>
      <c r="I463" s="165">
        <f>IF(target.10,J437,IF(target.20,N437,IF(target.30,R437,IF(target.05,H437,IF(target.15,L437,IF(target.25,P437))))))</f>
        <v>15169.163634305874</v>
      </c>
      <c r="J463" s="149">
        <f t="shared" si="179"/>
        <v>25701.433127715889</v>
      </c>
      <c r="K463" s="267">
        <f t="shared" si="180"/>
        <v>1.5184766842204722</v>
      </c>
      <c r="L463" s="223">
        <f t="shared" si="172"/>
        <v>1.3151959148818491</v>
      </c>
      <c r="M463" s="268">
        <f t="shared" si="173"/>
        <v>1.3943947389338447</v>
      </c>
      <c r="P463" s="66" t="str">
        <f t="shared" si="192"/>
        <v>75-79</v>
      </c>
      <c r="Q463" s="100">
        <f t="shared" si="193"/>
        <v>-4182</v>
      </c>
      <c r="R463" s="100">
        <f t="shared" si="194"/>
        <v>6552</v>
      </c>
      <c r="T463" s="66" t="str">
        <f t="shared" si="195"/>
        <v>75-79</v>
      </c>
      <c r="U463" s="100">
        <f t="shared" si="196"/>
        <v>-10532.269493410015</v>
      </c>
      <c r="V463" s="100">
        <f t="shared" si="197"/>
        <v>15169.163634305874</v>
      </c>
    </row>
    <row r="464" spans="3:22" x14ac:dyDescent="0.25">
      <c r="C464" s="56">
        <v>17</v>
      </c>
      <c r="D464" s="86" t="s">
        <v>54</v>
      </c>
      <c r="E464" s="250">
        <f t="shared" ref="E464:F464" si="204">E438</f>
        <v>3046</v>
      </c>
      <c r="F464" s="165">
        <f t="shared" si="204"/>
        <v>5287</v>
      </c>
      <c r="G464" s="149">
        <f t="shared" si="178"/>
        <v>8333</v>
      </c>
      <c r="H464" s="150">
        <f>IF(target.10,I438,IF(target.20,M438,IF(target.30,Q438,IF(target.05,G438,IF(target.15,K438,IF(target.25,O438))))))</f>
        <v>7293.1370159570661</v>
      </c>
      <c r="I464" s="165">
        <f>IF(target.10,J438,IF(target.20,N438,IF(target.30,R438,IF(target.05,H438,IF(target.15,L438,IF(target.25,P438))))))</f>
        <v>11996.300490262465</v>
      </c>
      <c r="J464" s="149">
        <f t="shared" si="179"/>
        <v>19289.437506219532</v>
      </c>
      <c r="K464" s="267">
        <f t="shared" si="180"/>
        <v>1.3943325725400741</v>
      </c>
      <c r="L464" s="223">
        <f t="shared" si="172"/>
        <v>1.269018439618397</v>
      </c>
      <c r="M464" s="268">
        <f t="shared" si="173"/>
        <v>1.3148250937500938</v>
      </c>
      <c r="P464" s="66" t="str">
        <f t="shared" si="192"/>
        <v>80-84</v>
      </c>
      <c r="Q464" s="100">
        <f t="shared" si="193"/>
        <v>-3046</v>
      </c>
      <c r="R464" s="100">
        <f t="shared" si="194"/>
        <v>5287</v>
      </c>
      <c r="T464" s="66" t="str">
        <f t="shared" si="195"/>
        <v>80-84</v>
      </c>
      <c r="U464" s="100">
        <f t="shared" si="196"/>
        <v>-7293.1370159570661</v>
      </c>
      <c r="V464" s="100">
        <f t="shared" si="197"/>
        <v>11996.300490262465</v>
      </c>
    </row>
    <row r="465" spans="3:22" x14ac:dyDescent="0.25">
      <c r="C465" s="56">
        <v>18</v>
      </c>
      <c r="D465" s="86" t="s">
        <v>55</v>
      </c>
      <c r="E465" s="269">
        <f t="shared" ref="E465:F465" si="205">E439</f>
        <v>2296</v>
      </c>
      <c r="F465" s="270">
        <f t="shared" si="205"/>
        <v>5400</v>
      </c>
      <c r="G465" s="149">
        <f t="shared" si="178"/>
        <v>7696</v>
      </c>
      <c r="H465" s="271">
        <f>IF(target.10,I439,IF(target.20,M439,IF(target.30,Q439,IF(target.05,G439,IF(target.15,K439,IF(target.25,O439))))))</f>
        <v>5380.0716943692923</v>
      </c>
      <c r="I465" s="270">
        <f>IF(target.10,J439,IF(target.20,N439,IF(target.30,R439,IF(target.05,H439,IF(target.15,L439,IF(target.25,P439))))))</f>
        <v>11207.362404945561</v>
      </c>
      <c r="J465" s="149">
        <f t="shared" si="179"/>
        <v>16587.434099314854</v>
      </c>
      <c r="K465" s="267">
        <f t="shared" si="180"/>
        <v>1.3432368006834896</v>
      </c>
      <c r="L465" s="223">
        <f t="shared" si="172"/>
        <v>1.0754374823973261</v>
      </c>
      <c r="M465" s="268">
        <f t="shared" si="173"/>
        <v>1.1553318736115976</v>
      </c>
      <c r="P465" s="66" t="str">
        <f t="shared" si="192"/>
        <v>85+</v>
      </c>
      <c r="Q465" s="100">
        <f t="shared" si="193"/>
        <v>-2296</v>
      </c>
      <c r="R465" s="100">
        <f t="shared" si="194"/>
        <v>5400</v>
      </c>
      <c r="T465" s="66" t="str">
        <f t="shared" si="195"/>
        <v>85+</v>
      </c>
      <c r="U465" s="100">
        <f t="shared" si="196"/>
        <v>-5380.0716943692923</v>
      </c>
      <c r="V465" s="100">
        <f t="shared" si="197"/>
        <v>11207.362404945561</v>
      </c>
    </row>
    <row r="466" spans="3:22" ht="15.75" thickBot="1" x14ac:dyDescent="0.3">
      <c r="C466" s="93"/>
      <c r="D466" s="94" t="s">
        <v>17</v>
      </c>
      <c r="E466" s="95">
        <f>SUM(E448:E465)</f>
        <v>331355</v>
      </c>
      <c r="F466" s="89">
        <f t="shared" ref="F466:J466" si="206">SUM(F448:F465)</f>
        <v>360538</v>
      </c>
      <c r="G466" s="90">
        <f t="shared" si="206"/>
        <v>691893</v>
      </c>
      <c r="H466" s="95">
        <f t="shared" si="206"/>
        <v>373790.36411595973</v>
      </c>
      <c r="I466" s="89">
        <f t="shared" si="206"/>
        <v>409519.49592018378</v>
      </c>
      <c r="J466" s="90">
        <f t="shared" si="206"/>
        <v>783309.86003614345</v>
      </c>
      <c r="K466" s="272">
        <f>(H466-E466)/E466</f>
        <v>0.12806616503737603</v>
      </c>
      <c r="L466" s="273">
        <f>(I466-F466)/F466</f>
        <v>0.13585668062779452</v>
      </c>
      <c r="M466" s="274">
        <f>(J466-G466)/G466</f>
        <v>0.13212571891339189</v>
      </c>
    </row>
  </sheetData>
  <sheetProtection password="DF21" sheet="1" formatCells="0" formatColumns="0"/>
  <pageMargins left="0.7" right="0.7" top="0.75" bottom="0.75" header="0.3" footer="0.3"/>
  <pageSetup scale="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E7067-D460-433F-8D6A-F08E902CE4D3}">
  <dimension ref="B2:L25"/>
  <sheetViews>
    <sheetView workbookViewId="0"/>
  </sheetViews>
  <sheetFormatPr defaultRowHeight="15" x14ac:dyDescent="0.25"/>
  <cols>
    <col min="1" max="9" width="9.140625" style="11"/>
    <col min="10" max="10" width="11" style="11" customWidth="1"/>
    <col min="11" max="11" width="9.140625" style="11"/>
    <col min="12" max="12" width="11.140625" style="11" customWidth="1"/>
    <col min="13" max="16384" width="9.140625" style="11"/>
  </cols>
  <sheetData>
    <row r="2" spans="2:12" x14ac:dyDescent="0.25">
      <c r="B2" s="25" t="str">
        <f>label</f>
        <v>Cohort-Component Projections: DeKalb County Total Population, 2040</v>
      </c>
      <c r="C2" s="66"/>
      <c r="D2" s="37"/>
      <c r="E2" s="37"/>
      <c r="F2" s="74"/>
      <c r="G2" s="37"/>
      <c r="H2" s="37"/>
      <c r="I2" s="37"/>
      <c r="J2" s="25"/>
      <c r="K2" s="25"/>
      <c r="L2" s="25"/>
    </row>
    <row r="3" spans="2:12" ht="15.75" thickBot="1" x14ac:dyDescent="0.3">
      <c r="B3" s="25"/>
      <c r="C3" s="66"/>
      <c r="D3" s="37"/>
      <c r="E3" s="37"/>
      <c r="F3" s="74"/>
      <c r="G3" s="37"/>
      <c r="H3" s="37"/>
      <c r="I3" s="37"/>
      <c r="J3" s="25"/>
      <c r="K3" s="25"/>
      <c r="L3" s="25"/>
    </row>
    <row r="4" spans="2:12" x14ac:dyDescent="0.25">
      <c r="B4" s="38" t="s">
        <v>6</v>
      </c>
      <c r="C4" s="39" t="s">
        <v>7</v>
      </c>
      <c r="D4" s="275" t="str">
        <f>launch.year&amp;" "&amp;population&amp;" Population"</f>
        <v>2010 Total Population</v>
      </c>
      <c r="E4" s="276"/>
      <c r="F4" s="277"/>
      <c r="G4" s="275" t="str">
        <f>IF(target.10,launch.year+10&amp;" "&amp;population&amp;" Population",IF(target.20,launch.year+20&amp;" "&amp;population&amp;" Population",IF(target.30,launch.year+30&amp;" "&amp;population&amp;" Population",IF(target.40,launch.year+40&amp;" "&amp;population&amp;" Population",IF(target.50,launch.year+50&amp;" "&amp;population&amp;" Population")))))</f>
        <v>2040 Total Population</v>
      </c>
      <c r="H4" s="276"/>
      <c r="I4" s="277"/>
      <c r="J4" s="278" t="str">
        <f>"Percentage Change ("&amp;launch.year&amp;"-"&amp;target.year&amp;")"</f>
        <v>Percentage Change (2010-2040)</v>
      </c>
      <c r="K4" s="161"/>
      <c r="L4" s="279"/>
    </row>
    <row r="5" spans="2:12" x14ac:dyDescent="0.25">
      <c r="B5" s="52"/>
      <c r="C5" s="53"/>
      <c r="D5" s="170" t="s">
        <v>20</v>
      </c>
      <c r="E5" s="170" t="s">
        <v>21</v>
      </c>
      <c r="F5" s="170" t="s">
        <v>17</v>
      </c>
      <c r="G5" s="170" t="s">
        <v>20</v>
      </c>
      <c r="H5" s="170" t="s">
        <v>21</v>
      </c>
      <c r="I5" s="170" t="s">
        <v>17</v>
      </c>
      <c r="J5" s="258" t="s">
        <v>20</v>
      </c>
      <c r="K5" s="258" t="s">
        <v>21</v>
      </c>
      <c r="L5" s="192" t="s">
        <v>17</v>
      </c>
    </row>
    <row r="6" spans="2:12" x14ac:dyDescent="0.25">
      <c r="B6" s="68" t="s">
        <v>9</v>
      </c>
      <c r="C6" s="69" t="s">
        <v>10</v>
      </c>
      <c r="D6" s="190" t="s">
        <v>11</v>
      </c>
      <c r="E6" s="190" t="s">
        <v>12</v>
      </c>
      <c r="F6" s="190" t="s">
        <v>13</v>
      </c>
      <c r="G6" s="190" t="s">
        <v>14</v>
      </c>
      <c r="H6" s="190" t="s">
        <v>15</v>
      </c>
      <c r="I6" s="190" t="s">
        <v>16</v>
      </c>
      <c r="J6" s="190" t="s">
        <v>18</v>
      </c>
      <c r="K6" s="190" t="s">
        <v>19</v>
      </c>
      <c r="L6" s="190" t="s">
        <v>30</v>
      </c>
    </row>
    <row r="7" spans="2:12" x14ac:dyDescent="0.25">
      <c r="B7" s="56">
        <v>1</v>
      </c>
      <c r="C7" s="53" t="s">
        <v>38</v>
      </c>
      <c r="D7" s="181">
        <f>Computations!E448</f>
        <v>25856</v>
      </c>
      <c r="E7" s="181">
        <f>Computations!F448</f>
        <v>24551</v>
      </c>
      <c r="F7" s="181">
        <f>Computations!G448</f>
        <v>50407</v>
      </c>
      <c r="G7" s="181">
        <f>Computations!H448</f>
        <v>27590.047130939998</v>
      </c>
      <c r="H7" s="181">
        <f>Computations!I448</f>
        <v>26256.677959919129</v>
      </c>
      <c r="I7" s="181">
        <f>Computations!J448</f>
        <v>53846.725090859123</v>
      </c>
      <c r="J7" s="280">
        <f>Computations!K448</f>
        <v>6.7065560447865033E-2</v>
      </c>
      <c r="K7" s="280">
        <f>Computations!L448</f>
        <v>6.9474887374002231E-2</v>
      </c>
      <c r="L7" s="280">
        <f>Computations!M448</f>
        <v>6.8239036063624553E-2</v>
      </c>
    </row>
    <row r="8" spans="2:12" x14ac:dyDescent="0.25">
      <c r="B8" s="56">
        <v>2</v>
      </c>
      <c r="C8" s="83" t="s">
        <v>39</v>
      </c>
      <c r="D8" s="181">
        <f>Computations!E449</f>
        <v>23110</v>
      </c>
      <c r="E8" s="181">
        <f>Computations!F449</f>
        <v>22180</v>
      </c>
      <c r="F8" s="181">
        <f>Computations!G449</f>
        <v>45290</v>
      </c>
      <c r="G8" s="181">
        <f>Computations!H449</f>
        <v>25698.227072474703</v>
      </c>
      <c r="H8" s="181">
        <f>Computations!I449</f>
        <v>24585.158045417571</v>
      </c>
      <c r="I8" s="181">
        <f>Computations!J449</f>
        <v>50283.385117892278</v>
      </c>
      <c r="J8" s="280">
        <f>Computations!K449</f>
        <v>0.1119959789041412</v>
      </c>
      <c r="K8" s="280">
        <f>Computations!L449</f>
        <v>0.10843814451837561</v>
      </c>
      <c r="L8" s="280">
        <f>Computations!M449</f>
        <v>0.1102535905915716</v>
      </c>
    </row>
    <row r="9" spans="2:12" x14ac:dyDescent="0.25">
      <c r="B9" s="56">
        <v>3</v>
      </c>
      <c r="C9" s="83" t="s">
        <v>40</v>
      </c>
      <c r="D9" s="181">
        <f>Computations!E450</f>
        <v>21915</v>
      </c>
      <c r="E9" s="181">
        <f>Computations!F450</f>
        <v>20882</v>
      </c>
      <c r="F9" s="181">
        <f>Computations!G450</f>
        <v>42797</v>
      </c>
      <c r="G9" s="181">
        <f>Computations!H450</f>
        <v>24578.572368901769</v>
      </c>
      <c r="H9" s="181">
        <f>Computations!I450</f>
        <v>23441.169328345943</v>
      </c>
      <c r="I9" s="181">
        <f>Computations!J450</f>
        <v>48019.741697247708</v>
      </c>
      <c r="J9" s="280">
        <f>Computations!K450</f>
        <v>0.12154106177968371</v>
      </c>
      <c r="K9" s="280">
        <f>Computations!L450</f>
        <v>0.12255384198572659</v>
      </c>
      <c r="L9" s="280">
        <f>Computations!M450</f>
        <v>0.12203522904053339</v>
      </c>
    </row>
    <row r="10" spans="2:12" x14ac:dyDescent="0.25">
      <c r="B10" s="56">
        <v>4</v>
      </c>
      <c r="C10" s="86" t="s">
        <v>41</v>
      </c>
      <c r="D10" s="181">
        <f>Computations!E451</f>
        <v>22737</v>
      </c>
      <c r="E10" s="181">
        <f>Computations!F451</f>
        <v>21906</v>
      </c>
      <c r="F10" s="181">
        <f>Computations!G451</f>
        <v>44643</v>
      </c>
      <c r="G10" s="181">
        <f>Computations!H451</f>
        <v>25222.032351407081</v>
      </c>
      <c r="H10" s="181">
        <f>Computations!I451</f>
        <v>24756.845520263789</v>
      </c>
      <c r="I10" s="181">
        <f>Computations!J451</f>
        <v>49978.877871670869</v>
      </c>
      <c r="J10" s="280">
        <f>Computations!K451</f>
        <v>0.10929464535370016</v>
      </c>
      <c r="K10" s="280">
        <f>Computations!L451</f>
        <v>0.13013993975457813</v>
      </c>
      <c r="L10" s="280">
        <f>Computations!M451</f>
        <v>0.11952328185092555</v>
      </c>
    </row>
    <row r="11" spans="2:12" x14ac:dyDescent="0.25">
      <c r="B11" s="56">
        <v>5</v>
      </c>
      <c r="C11" s="86" t="s">
        <v>42</v>
      </c>
      <c r="D11" s="181">
        <f>Computations!E452</f>
        <v>25555</v>
      </c>
      <c r="E11" s="181">
        <f>Computations!F452</f>
        <v>26144</v>
      </c>
      <c r="F11" s="181">
        <f>Computations!G452</f>
        <v>51699</v>
      </c>
      <c r="G11" s="181">
        <f>Computations!H452</f>
        <v>29382.314393533634</v>
      </c>
      <c r="H11" s="181">
        <f>Computations!I452</f>
        <v>30082.635810776977</v>
      </c>
      <c r="I11" s="181">
        <f>Computations!J452</f>
        <v>59464.950204310611</v>
      </c>
      <c r="J11" s="280">
        <f>Computations!K452</f>
        <v>0.14976773208897021</v>
      </c>
      <c r="K11" s="280">
        <f>Computations!L452</f>
        <v>0.15065161454930298</v>
      </c>
      <c r="L11" s="280">
        <f>Computations!M452</f>
        <v>0.1502147082982381</v>
      </c>
    </row>
    <row r="12" spans="2:12" x14ac:dyDescent="0.25">
      <c r="B12" s="56">
        <v>6</v>
      </c>
      <c r="C12" s="86" t="s">
        <v>43</v>
      </c>
      <c r="D12" s="181">
        <f>Computations!E453</f>
        <v>29422</v>
      </c>
      <c r="E12" s="181">
        <f>Computations!F453</f>
        <v>31514</v>
      </c>
      <c r="F12" s="181">
        <f>Computations!G453</f>
        <v>60936</v>
      </c>
      <c r="G12" s="181">
        <f>Computations!H453</f>
        <v>32219.777271335704</v>
      </c>
      <c r="H12" s="181">
        <f>Computations!I453</f>
        <v>33190.150360972308</v>
      </c>
      <c r="I12" s="181">
        <f>Computations!J453</f>
        <v>65409.927632308012</v>
      </c>
      <c r="J12" s="280">
        <f>Computations!K453</f>
        <v>9.5091335440680588E-2</v>
      </c>
      <c r="K12" s="280">
        <f>Computations!L453</f>
        <v>5.3187483688909937E-2</v>
      </c>
      <c r="L12" s="280">
        <f>Computations!M453</f>
        <v>7.3420106871274982E-2</v>
      </c>
    </row>
    <row r="13" spans="2:12" x14ac:dyDescent="0.25">
      <c r="B13" s="56">
        <v>7</v>
      </c>
      <c r="C13" s="86" t="s">
        <v>44</v>
      </c>
      <c r="D13" s="181">
        <f>Computations!E454</f>
        <v>28134</v>
      </c>
      <c r="E13" s="181">
        <f>Computations!F454</f>
        <v>29579</v>
      </c>
      <c r="F13" s="181">
        <f>Computations!G454</f>
        <v>57713</v>
      </c>
      <c r="G13" s="181">
        <f>Computations!H454</f>
        <v>31496.840265778534</v>
      </c>
      <c r="H13" s="181">
        <f>Computations!I454</f>
        <v>31864.972043437818</v>
      </c>
      <c r="I13" s="181">
        <f>Computations!J454</f>
        <v>63361.812309216351</v>
      </c>
      <c r="J13" s="280">
        <f>Computations!K454</f>
        <v>0.11952940448491269</v>
      </c>
      <c r="K13" s="280">
        <f>Computations!L454</f>
        <v>7.7283614842889134E-2</v>
      </c>
      <c r="L13" s="280">
        <f>Computations!M454</f>
        <v>9.7877641245756611E-2</v>
      </c>
    </row>
    <row r="14" spans="2:12" x14ac:dyDescent="0.25">
      <c r="B14" s="56">
        <v>8</v>
      </c>
      <c r="C14" s="86" t="s">
        <v>45</v>
      </c>
      <c r="D14" s="181">
        <f>Computations!E455</f>
        <v>27346</v>
      </c>
      <c r="E14" s="181">
        <f>Computations!F455</f>
        <v>28245</v>
      </c>
      <c r="F14" s="181">
        <f>Computations!G455</f>
        <v>55591</v>
      </c>
      <c r="G14" s="181">
        <f>Computations!H455</f>
        <v>27552.826008822805</v>
      </c>
      <c r="H14" s="181">
        <f>Computations!I455</f>
        <v>28456.188374972884</v>
      </c>
      <c r="I14" s="181">
        <f>Computations!J455</f>
        <v>56009.014383795686</v>
      </c>
      <c r="J14" s="280">
        <f>Computations!K455</f>
        <v>7.5633002568128906E-3</v>
      </c>
      <c r="K14" s="280">
        <f>Computations!L455</f>
        <v>7.4770180553331228E-3</v>
      </c>
      <c r="L14" s="280">
        <f>Computations!M455</f>
        <v>7.5194614918905169E-3</v>
      </c>
    </row>
    <row r="15" spans="2:12" x14ac:dyDescent="0.25">
      <c r="B15" s="56">
        <v>9</v>
      </c>
      <c r="C15" s="86" t="s">
        <v>46</v>
      </c>
      <c r="D15" s="181">
        <f>Computations!E456</f>
        <v>25043</v>
      </c>
      <c r="E15" s="181">
        <f>Computations!F456</f>
        <v>26511</v>
      </c>
      <c r="F15" s="181">
        <f>Computations!G456</f>
        <v>51554</v>
      </c>
      <c r="G15" s="181">
        <f>Computations!H456</f>
        <v>24100.646082890475</v>
      </c>
      <c r="H15" s="181">
        <f>Computations!I456</f>
        <v>25858.928572166569</v>
      </c>
      <c r="I15" s="181">
        <f>Computations!J456</f>
        <v>49959.574655057047</v>
      </c>
      <c r="J15" s="280">
        <f>Computations!K456</f>
        <v>-3.7629434057801593E-2</v>
      </c>
      <c r="K15" s="280">
        <f>Computations!L456</f>
        <v>-2.4596259206873781E-2</v>
      </c>
      <c r="L15" s="280">
        <f>Computations!M456</f>
        <v>-3.0927286824358004E-2</v>
      </c>
    </row>
    <row r="16" spans="2:12" x14ac:dyDescent="0.25">
      <c r="B16" s="56">
        <v>10</v>
      </c>
      <c r="C16" s="86" t="s">
        <v>47</v>
      </c>
      <c r="D16" s="181">
        <f>Computations!E457</f>
        <v>23810</v>
      </c>
      <c r="E16" s="181">
        <f>Computations!F457</f>
        <v>26424</v>
      </c>
      <c r="F16" s="181">
        <f>Computations!G457</f>
        <v>50234</v>
      </c>
      <c r="G16" s="181">
        <f>Computations!H457</f>
        <v>21506.688899642915</v>
      </c>
      <c r="H16" s="181">
        <f>Computations!I457</f>
        <v>23586.002291076853</v>
      </c>
      <c r="I16" s="181">
        <f>Computations!J457</f>
        <v>45092.691190719765</v>
      </c>
      <c r="J16" s="280">
        <f>Computations!K457</f>
        <v>-9.6737131472368121E-2</v>
      </c>
      <c r="K16" s="280">
        <f>Computations!L457</f>
        <v>-0.107402274785163</v>
      </c>
      <c r="L16" s="280">
        <f>Computations!M457</f>
        <v>-0.10234719133017947</v>
      </c>
    </row>
    <row r="17" spans="2:12" x14ac:dyDescent="0.25">
      <c r="B17" s="56">
        <v>11</v>
      </c>
      <c r="C17" s="86" t="s">
        <v>48</v>
      </c>
      <c r="D17" s="181">
        <f>Computations!E458</f>
        <v>21027</v>
      </c>
      <c r="E17" s="181">
        <f>Computations!F458</f>
        <v>24984</v>
      </c>
      <c r="F17" s="181">
        <f>Computations!G458</f>
        <v>46011</v>
      </c>
      <c r="G17" s="181">
        <f>Computations!H458</f>
        <v>18621.905481658116</v>
      </c>
      <c r="H17" s="181">
        <f>Computations!I458</f>
        <v>21300.881988811696</v>
      </c>
      <c r="I17" s="181">
        <f>Computations!J458</f>
        <v>39922.787470469812</v>
      </c>
      <c r="J17" s="280">
        <f>Computations!K458</f>
        <v>-0.11438124879164334</v>
      </c>
      <c r="K17" s="280">
        <f>Computations!L458</f>
        <v>-0.14741906865146912</v>
      </c>
      <c r="L17" s="280">
        <f>Computations!M458</f>
        <v>-0.1323208043626565</v>
      </c>
    </row>
    <row r="18" spans="2:12" x14ac:dyDescent="0.25">
      <c r="B18" s="56">
        <v>12</v>
      </c>
      <c r="C18" s="86" t="s">
        <v>49</v>
      </c>
      <c r="D18" s="181">
        <f>Computations!E459</f>
        <v>17928</v>
      </c>
      <c r="E18" s="181">
        <f>Computations!F459</f>
        <v>22198</v>
      </c>
      <c r="F18" s="181">
        <f>Computations!G459</f>
        <v>40126</v>
      </c>
      <c r="G18" s="181">
        <f>Computations!H459</f>
        <v>18633.075631376556</v>
      </c>
      <c r="H18" s="181">
        <f>Computations!I459</f>
        <v>22385.246309441682</v>
      </c>
      <c r="I18" s="181">
        <f>Computations!J459</f>
        <v>41018.321940818234</v>
      </c>
      <c r="J18" s="280">
        <f>Computations!K459</f>
        <v>3.9328181134346052E-2</v>
      </c>
      <c r="K18" s="280">
        <f>Computations!L459</f>
        <v>8.4352783783080299E-3</v>
      </c>
      <c r="L18" s="280">
        <f>Computations!M459</f>
        <v>2.2237998824159746E-2</v>
      </c>
    </row>
    <row r="19" spans="2:12" x14ac:dyDescent="0.25">
      <c r="B19" s="56">
        <v>13</v>
      </c>
      <c r="C19" s="86" t="s">
        <v>50</v>
      </c>
      <c r="D19" s="181">
        <f>Computations!E460</f>
        <v>14530</v>
      </c>
      <c r="E19" s="181">
        <f>Computations!F460</f>
        <v>18134</v>
      </c>
      <c r="F19" s="181">
        <f>Computations!G460</f>
        <v>32664</v>
      </c>
      <c r="G19" s="181">
        <f>Computations!H460</f>
        <v>16458.377493972759</v>
      </c>
      <c r="H19" s="181">
        <f>Computations!I460</f>
        <v>20100.989919396918</v>
      </c>
      <c r="I19" s="181">
        <f>Computations!J460</f>
        <v>36559.367413369677</v>
      </c>
      <c r="J19" s="280">
        <f>Computations!K460</f>
        <v>0.13271696448539291</v>
      </c>
      <c r="K19" s="280">
        <f>Computations!L460</f>
        <v>0.10846972093288396</v>
      </c>
      <c r="L19" s="280">
        <f>Computations!M460</f>
        <v>0.1192556763828581</v>
      </c>
    </row>
    <row r="20" spans="2:12" x14ac:dyDescent="0.25">
      <c r="B20" s="56">
        <v>14</v>
      </c>
      <c r="C20" s="86" t="s">
        <v>51</v>
      </c>
      <c r="D20" s="181">
        <f>Computations!E461</f>
        <v>9311</v>
      </c>
      <c r="E20" s="181">
        <f>Computations!F461</f>
        <v>11793</v>
      </c>
      <c r="F20" s="181">
        <f>Computations!G461</f>
        <v>21104</v>
      </c>
      <c r="G20" s="181">
        <f>Computations!H461</f>
        <v>15108.037098287445</v>
      </c>
      <c r="H20" s="181">
        <f>Computations!I461</f>
        <v>18750.97554404063</v>
      </c>
      <c r="I20" s="181">
        <f>Computations!J461</f>
        <v>33859.012642328074</v>
      </c>
      <c r="J20" s="280">
        <f>Computations!K461</f>
        <v>0.62260091271479379</v>
      </c>
      <c r="K20" s="280">
        <f>Computations!L461</f>
        <v>0.59000894971937845</v>
      </c>
      <c r="L20" s="280">
        <f>Computations!M461</f>
        <v>0.60438839283207324</v>
      </c>
    </row>
    <row r="21" spans="2:12" x14ac:dyDescent="0.25">
      <c r="B21" s="56">
        <v>15</v>
      </c>
      <c r="C21" s="86" t="s">
        <v>52</v>
      </c>
      <c r="D21" s="181">
        <f>Computations!E462</f>
        <v>6107</v>
      </c>
      <c r="E21" s="181">
        <f>Computations!F462</f>
        <v>8254</v>
      </c>
      <c r="F21" s="181">
        <f>Computations!G462</f>
        <v>14361</v>
      </c>
      <c r="G21" s="181">
        <f>Computations!H462</f>
        <v>12415.518361200793</v>
      </c>
      <c r="H21" s="181">
        <f>Computations!I462</f>
        <v>16529.847321629142</v>
      </c>
      <c r="I21" s="181">
        <f>Computations!J462</f>
        <v>28945.365682829935</v>
      </c>
      <c r="J21" s="280">
        <f>Computations!K462</f>
        <v>1.0329979304406081</v>
      </c>
      <c r="K21" s="280">
        <f>Computations!L462</f>
        <v>1.0026468768632351</v>
      </c>
      <c r="L21" s="280">
        <f>Computations!M462</f>
        <v>1.0155536301671149</v>
      </c>
    </row>
    <row r="22" spans="2:12" x14ac:dyDescent="0.25">
      <c r="B22" s="56">
        <v>16</v>
      </c>
      <c r="C22" s="86" t="s">
        <v>53</v>
      </c>
      <c r="D22" s="181">
        <f>Computations!E463</f>
        <v>4182</v>
      </c>
      <c r="E22" s="181">
        <f>Computations!F463</f>
        <v>6552</v>
      </c>
      <c r="F22" s="181">
        <f>Computations!G463</f>
        <v>10734</v>
      </c>
      <c r="G22" s="181">
        <f>Computations!H463</f>
        <v>10532.269493410015</v>
      </c>
      <c r="H22" s="181">
        <f>Computations!I463</f>
        <v>15169.163634305874</v>
      </c>
      <c r="I22" s="181">
        <f>Computations!J463</f>
        <v>25701.433127715889</v>
      </c>
      <c r="J22" s="280">
        <f>Computations!K463</f>
        <v>1.5184766842204722</v>
      </c>
      <c r="K22" s="280">
        <f>Computations!L463</f>
        <v>1.3151959148818491</v>
      </c>
      <c r="L22" s="280">
        <f>Computations!M463</f>
        <v>1.3943947389338447</v>
      </c>
    </row>
    <row r="23" spans="2:12" x14ac:dyDescent="0.25">
      <c r="B23" s="56">
        <v>17</v>
      </c>
      <c r="C23" s="86" t="s">
        <v>54</v>
      </c>
      <c r="D23" s="181">
        <f>Computations!E464</f>
        <v>3046</v>
      </c>
      <c r="E23" s="181">
        <f>Computations!F464</f>
        <v>5287</v>
      </c>
      <c r="F23" s="181">
        <f>Computations!G464</f>
        <v>8333</v>
      </c>
      <c r="G23" s="181">
        <f>Computations!H464</f>
        <v>7293.1370159570661</v>
      </c>
      <c r="H23" s="181">
        <f>Computations!I464</f>
        <v>11996.300490262465</v>
      </c>
      <c r="I23" s="181">
        <f>Computations!J464</f>
        <v>19289.437506219532</v>
      </c>
      <c r="J23" s="280">
        <f>Computations!K464</f>
        <v>1.3943325725400741</v>
      </c>
      <c r="K23" s="280">
        <f>Computations!L464</f>
        <v>1.269018439618397</v>
      </c>
      <c r="L23" s="280">
        <f>Computations!M464</f>
        <v>1.3148250937500938</v>
      </c>
    </row>
    <row r="24" spans="2:12" x14ac:dyDescent="0.25">
      <c r="B24" s="56">
        <v>18</v>
      </c>
      <c r="C24" s="86" t="s">
        <v>55</v>
      </c>
      <c r="D24" s="181">
        <f>Computations!E465</f>
        <v>2296</v>
      </c>
      <c r="E24" s="181">
        <f>Computations!F465</f>
        <v>5400</v>
      </c>
      <c r="F24" s="181">
        <f>Computations!G465</f>
        <v>7696</v>
      </c>
      <c r="G24" s="181">
        <f>Computations!H465</f>
        <v>5380.0716943692923</v>
      </c>
      <c r="H24" s="181">
        <f>Computations!I465</f>
        <v>11207.362404945561</v>
      </c>
      <c r="I24" s="181">
        <f>Computations!J465</f>
        <v>16587.434099314854</v>
      </c>
      <c r="J24" s="280">
        <f>Computations!K465</f>
        <v>1.3432368006834896</v>
      </c>
      <c r="K24" s="280">
        <f>Computations!L465</f>
        <v>1.0754374823973261</v>
      </c>
      <c r="L24" s="280">
        <f>Computations!M465</f>
        <v>1.1553318736115976</v>
      </c>
    </row>
    <row r="25" spans="2:12" ht="15.75" thickBot="1" x14ac:dyDescent="0.3">
      <c r="B25" s="93"/>
      <c r="C25" s="281" t="s">
        <v>17</v>
      </c>
      <c r="D25" s="282">
        <f>Computations!E466</f>
        <v>331355</v>
      </c>
      <c r="E25" s="282">
        <f>Computations!F466</f>
        <v>360538</v>
      </c>
      <c r="F25" s="282">
        <f>Computations!G466</f>
        <v>691893</v>
      </c>
      <c r="G25" s="282">
        <f>Computations!H466</f>
        <v>373790.36411595973</v>
      </c>
      <c r="H25" s="282">
        <f>Computations!I466</f>
        <v>409519.49592018378</v>
      </c>
      <c r="I25" s="282">
        <f>Computations!J466</f>
        <v>783309.86003614345</v>
      </c>
      <c r="J25" s="283">
        <f>Computations!K466</f>
        <v>0.12806616503737603</v>
      </c>
      <c r="K25" s="283">
        <f>Computations!L466</f>
        <v>0.13585668062779452</v>
      </c>
      <c r="L25" s="284">
        <f>Computations!M466</f>
        <v>0.13212571891339189</v>
      </c>
    </row>
  </sheetData>
  <sheetProtection password="DF21" sheet="1" formatCells="0" formatColumns="0" formatRows="0"/>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Documentation</vt:lpstr>
      <vt:lpstr>Input</vt:lpstr>
      <vt:lpstr>Computations</vt:lpstr>
      <vt:lpstr>Output</vt:lpstr>
      <vt:lpstr>label</vt:lpstr>
      <vt:lpstr>launch.year</vt:lpstr>
      <vt:lpstr>population</vt:lpstr>
      <vt:lpstr>study.area</vt:lpstr>
      <vt:lpstr>summary.table</vt:lpstr>
      <vt:lpstr>target.10</vt:lpstr>
      <vt:lpstr>target.15</vt:lpstr>
      <vt:lpstr>target.20</vt:lpstr>
      <vt:lpstr>target.25</vt:lpstr>
      <vt:lpstr>target.30</vt:lpstr>
      <vt:lpstr>target.5</vt:lpstr>
      <vt:lpstr>target.year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Klosterman</dc:creator>
  <cp:lastModifiedBy>Dick Klosterman</cp:lastModifiedBy>
  <cp:lastPrinted>2019-04-03T18:30:28Z</cp:lastPrinted>
  <dcterms:created xsi:type="dcterms:W3CDTF">2019-03-11T19:00:53Z</dcterms:created>
  <dcterms:modified xsi:type="dcterms:W3CDTF">2019-04-12T17:52:06Z</dcterms:modified>
</cp:coreProperties>
</file>